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shboard" sheetId="1" r:id="rId4"/>
    <sheet state="visible" name="Profit &amp; Loss" sheetId="2" r:id="rId5"/>
    <sheet state="visible" name="Balance Sheet2021" sheetId="3" r:id="rId6"/>
    <sheet state="visible" name="2122 Budget" sheetId="4" r:id="rId7"/>
    <sheet state="visible" name="Transactions" sheetId="5" r:id="rId8"/>
    <sheet state="visible" name="Categories" sheetId="6" r:id="rId9"/>
  </sheets>
  <definedNames>
    <definedName hidden="1" localSheetId="4" name="_xlnm._FilterDatabase">Transactions!$A$4:$F$438</definedName>
  </definedNames>
  <calcPr/>
  <extLst>
    <ext uri="GoogleSheetsCustomDataVersion1">
      <go:sheetsCustomData xmlns:go="http://customooxmlschemas.google.com/" r:id="rId10" roundtripDataSignature="AMtx7mhGwQdBDQc8CjvUNTfP7meKxdBEJw=="/>
    </ext>
  </extLst>
</workbook>
</file>

<file path=xl/sharedStrings.xml><?xml version="1.0" encoding="utf-8"?>
<sst xmlns="http://schemas.openxmlformats.org/spreadsheetml/2006/main" count="1452" uniqueCount="275">
  <si>
    <t xml:space="preserve">Dashboard </t>
  </si>
  <si>
    <t>Revenue YTD</t>
  </si>
  <si>
    <t>Total Profit (Loss) YTD</t>
  </si>
  <si>
    <t>Data used for chart. Do not edit.</t>
  </si>
  <si>
    <t>Month</t>
  </si>
  <si>
    <t>Revenue</t>
  </si>
  <si>
    <t>Profit (Loss)</t>
  </si>
  <si>
    <t>-</t>
  </si>
  <si>
    <t>3 Most Profitable Months</t>
  </si>
  <si>
    <t>3 Least Profitable Months</t>
  </si>
  <si>
    <t>5 Highest Expenses YTD</t>
  </si>
  <si>
    <t>Profit &amp; Loss</t>
  </si>
  <si>
    <t>This sheet automatically summarizes revenues, costs, and expenses for the provided year based on the transactions listed in the "Transactions" sheet. Optionally, specify a growth rate percentage to create a projected Profit &amp; Loss statement. 
Select cell F4 to choose the first month of your financial year. The rest of the dates will update.</t>
  </si>
  <si>
    <t>June</t>
  </si>
  <si>
    <t>Total YTD</t>
  </si>
  <si>
    <t>Growth Rate</t>
  </si>
  <si>
    <t>Projected</t>
  </si>
  <si>
    <t>Income</t>
  </si>
  <si>
    <t>Total Revenue</t>
  </si>
  <si>
    <t>Cost of sales</t>
  </si>
  <si>
    <t>Total cost of sales</t>
  </si>
  <si>
    <t>Gross Margin</t>
  </si>
  <si>
    <t>Expenses</t>
  </si>
  <si>
    <t>Total expenses</t>
  </si>
  <si>
    <t>Total Profit (Loss)</t>
  </si>
  <si>
    <t>KJFC Balance Sheet as at 31 May 2021</t>
  </si>
  <si>
    <t>KJFC Balance Sheet as at 31 May 2020</t>
  </si>
  <si>
    <t>Opening Balance</t>
  </si>
  <si>
    <t>Financial assets</t>
  </si>
  <si>
    <t>Paypal</t>
  </si>
  <si>
    <t xml:space="preserve">Cash </t>
  </si>
  <si>
    <t>Ref fees and Cafe float</t>
  </si>
  <si>
    <t>Bank Income A/C</t>
  </si>
  <si>
    <t>Payments A/C</t>
  </si>
  <si>
    <t>Savings A/C</t>
  </si>
  <si>
    <t>Total</t>
  </si>
  <si>
    <t>P&amp;L</t>
  </si>
  <si>
    <t>Fixed Assets (Estimated Value)</t>
  </si>
  <si>
    <t>depreciation@10% pa</t>
  </si>
  <si>
    <t xml:space="preserve">2 X Defibs </t>
  </si>
  <si>
    <t>1 Set - 11 a Side Goalposts</t>
  </si>
  <si>
    <t>6 Sets - 12x 6 Goalpost</t>
  </si>
  <si>
    <t>5 Sets - 12x 6 Goalpost</t>
  </si>
  <si>
    <t>2 Set - 9 a side Goalpost</t>
  </si>
  <si>
    <t>1 Set - 9 a side Goalpost</t>
  </si>
  <si>
    <t xml:space="preserve">Playing Equipment and Kit* </t>
  </si>
  <si>
    <t xml:space="preserve">Total </t>
  </si>
  <si>
    <t>Total Assets</t>
  </si>
  <si>
    <t>*All teams are stocked with Balls, Cones, First Aid Kits, Bags etc</t>
  </si>
  <si>
    <t>Q1</t>
  </si>
  <si>
    <t>Q2</t>
  </si>
  <si>
    <t>Q3</t>
  </si>
  <si>
    <t>Q4</t>
  </si>
  <si>
    <t>20/21 Figures</t>
  </si>
  <si>
    <t>21/21 Budget</t>
  </si>
  <si>
    <t>Jun/Jul/Aug</t>
  </si>
  <si>
    <t>Sept/Oct/Nov</t>
  </si>
  <si>
    <t>Dec/Jan/Feb</t>
  </si>
  <si>
    <t>Mar/Apr/May</t>
  </si>
  <si>
    <t>YTD(spent)</t>
  </si>
  <si>
    <t>Grant funding</t>
  </si>
  <si>
    <t>Fundraising</t>
  </si>
  <si>
    <t>Co op and presntation evening</t>
  </si>
  <si>
    <t>Donation</t>
  </si>
  <si>
    <t>Sublet</t>
  </si>
  <si>
    <t>Subs/Sales/Discipline</t>
  </si>
  <si>
    <t>Sponsorship</t>
  </si>
  <si>
    <t>Cafe Sales</t>
  </si>
  <si>
    <t xml:space="preserve">Q1 </t>
  </si>
  <si>
    <t>YTD</t>
  </si>
  <si>
    <t>Advertising</t>
  </si>
  <si>
    <t>Pitch Hire</t>
  </si>
  <si>
    <t>AFC Fylde</t>
  </si>
  <si>
    <t>Corry</t>
  </si>
  <si>
    <t>Wesham</t>
  </si>
  <si>
    <t>Bank Lane</t>
  </si>
  <si>
    <t>Newton</t>
  </si>
  <si>
    <t>Cricket Club</t>
  </si>
  <si>
    <t>Weeton</t>
  </si>
  <si>
    <t>Wrea Green</t>
  </si>
  <si>
    <t>Central Venues</t>
  </si>
  <si>
    <t>Equipment</t>
  </si>
  <si>
    <t>Pair goal posts, 2x sheds, Footballs, training equip for Newton</t>
  </si>
  <si>
    <t>Kit</t>
  </si>
  <si>
    <t>10000 sponsorship +210 away kits at club expense</t>
  </si>
  <si>
    <t>Facility Improvement</t>
  </si>
  <si>
    <t>Ref Fees</t>
  </si>
  <si>
    <t>Club Admin</t>
  </si>
  <si>
    <t>Cafe Stock</t>
  </si>
  <si>
    <t>DBS/Coach Education</t>
  </si>
  <si>
    <t>Disciplinary</t>
  </si>
  <si>
    <t>Trophies/Presentation</t>
  </si>
  <si>
    <t>Xmas Gifts</t>
  </si>
  <si>
    <t>Kit stock</t>
  </si>
  <si>
    <t>Covid Expenses</t>
  </si>
  <si>
    <t>Insurance</t>
  </si>
  <si>
    <t>Travel</t>
  </si>
  <si>
    <t>Goodwill payment</t>
  </si>
  <si>
    <t>Transaction Fees</t>
  </si>
  <si>
    <t>Tournament fees</t>
  </si>
  <si>
    <t>Coaching</t>
  </si>
  <si>
    <t>Transactions</t>
  </si>
  <si>
    <t>Enter transactions below. Otgoings should be a negative amount. Any money received should be a positive amount. Enter the Date, Description and Amount, select the appropriate category for the transaction.</t>
  </si>
  <si>
    <t>Category</t>
  </si>
  <si>
    <t>Date</t>
  </si>
  <si>
    <t>Amount</t>
  </si>
  <si>
    <t>Paid by</t>
  </si>
  <si>
    <t>Paid to</t>
  </si>
  <si>
    <t>JD</t>
  </si>
  <si>
    <t>Knight Air Products</t>
  </si>
  <si>
    <t xml:space="preserve">Blue Fin Insurance </t>
  </si>
  <si>
    <t>Admin Officer</t>
  </si>
  <si>
    <t>Galaxy Inv 3441</t>
  </si>
  <si>
    <t>Galaxy Inv 3450</t>
  </si>
  <si>
    <t>Craig Renshaw</t>
  </si>
  <si>
    <t>Laura Eccles</t>
  </si>
  <si>
    <t xml:space="preserve">Craig Renshaw </t>
  </si>
  <si>
    <t xml:space="preserve">Kirkham Council </t>
  </si>
  <si>
    <t>Neil Whipp</t>
  </si>
  <si>
    <t>Galaxy Inv 3472</t>
  </si>
  <si>
    <t>Galaxy Inv 3463</t>
  </si>
  <si>
    <t>Barry Simpson</t>
  </si>
  <si>
    <t>Galaxy Inv 3473</t>
  </si>
  <si>
    <t>Galaxy Inv 3462</t>
  </si>
  <si>
    <t>Galaxy Inv 3494</t>
  </si>
  <si>
    <t>Lancashire Sunday League</t>
  </si>
  <si>
    <t>Total Amenity Supplies</t>
  </si>
  <si>
    <t>Galaxy Inv 3509</t>
  </si>
  <si>
    <t xml:space="preserve">Galaxy Inv 3517 </t>
  </si>
  <si>
    <t>Galaxy Inv 3540</t>
  </si>
  <si>
    <t>Galaxy Inv 3542</t>
  </si>
  <si>
    <t>Poulton League</t>
  </si>
  <si>
    <t>Galaxy Inv 3466</t>
  </si>
  <si>
    <t>Galaxy Inv 3467</t>
  </si>
  <si>
    <t>Galaxy Inv 3468</t>
  </si>
  <si>
    <t>Galaxy Inv 3591</t>
  </si>
  <si>
    <t>Galaxy Inv 3606</t>
  </si>
  <si>
    <t>James Davenport</t>
  </si>
  <si>
    <t>Galaxy Inv 3611</t>
  </si>
  <si>
    <t>Galaxy Inv 3615</t>
  </si>
  <si>
    <t>Refund</t>
  </si>
  <si>
    <t>Winstanley Family</t>
  </si>
  <si>
    <t xml:space="preserve">Lewis Royle </t>
  </si>
  <si>
    <t>Property World</t>
  </si>
  <si>
    <t>Galaxy Inv 3640</t>
  </si>
  <si>
    <t>Galaxy Inv 3631</t>
  </si>
  <si>
    <t xml:space="preserve">Galaxy Inv </t>
  </si>
  <si>
    <t xml:space="preserve">Andy Short </t>
  </si>
  <si>
    <t xml:space="preserve">Martin Boyle </t>
  </si>
  <si>
    <t>Wes Lawrenson</t>
  </si>
  <si>
    <t>Wesham Community</t>
  </si>
  <si>
    <t>Andy Lawrenson</t>
  </si>
  <si>
    <t>Kirkham Council Inv 4231</t>
  </si>
  <si>
    <t>Barry Quinn</t>
  </si>
  <si>
    <t>Kirkham Council Inv 4236</t>
  </si>
  <si>
    <t>James Rogers</t>
  </si>
  <si>
    <t>Warton S &amp; S - Inv 79</t>
  </si>
  <si>
    <t>Trophies</t>
  </si>
  <si>
    <t xml:space="preserve">Top Trophies North </t>
  </si>
  <si>
    <t>Adam Leigh</t>
  </si>
  <si>
    <t>£80</t>
  </si>
  <si>
    <t>Galaxy Inv 3889</t>
  </si>
  <si>
    <t>Galaxy Inv 3777</t>
  </si>
  <si>
    <t>Lee Geraghty</t>
  </si>
  <si>
    <t>Galaxy Inv 3904</t>
  </si>
  <si>
    <t xml:space="preserve">Claire Turner </t>
  </si>
  <si>
    <t xml:space="preserve">Karina Lawrence </t>
  </si>
  <si>
    <t>Globall Coaching</t>
  </si>
  <si>
    <t>Marsh Ltd</t>
  </si>
  <si>
    <t>Ric Whiteside (Wrea Green Vets)</t>
  </si>
  <si>
    <t>Tim Saville</t>
  </si>
  <si>
    <t>Michael Godley</t>
  </si>
  <si>
    <t>Galaxy Inv 4030</t>
  </si>
  <si>
    <t xml:space="preserve">PDPL </t>
  </si>
  <si>
    <t>£20</t>
  </si>
  <si>
    <t>Cathy O'Reilly</t>
  </si>
  <si>
    <t>James Conway</t>
  </si>
  <si>
    <t>Joe Sweeney</t>
  </si>
  <si>
    <t>£120.00</t>
  </si>
  <si>
    <t>Mark Turner</t>
  </si>
  <si>
    <t>Kirkham &amp; Wesham Cricket Club</t>
  </si>
  <si>
    <t>Galaxy Inv 3908</t>
  </si>
  <si>
    <t>Galaxy Inv 3893</t>
  </si>
  <si>
    <t>Galaxy Inv 3913</t>
  </si>
  <si>
    <t>Galaxy Inv 4014</t>
  </si>
  <si>
    <t>Galaxy Inv 4012</t>
  </si>
  <si>
    <t>Galaxy Inv 4040</t>
  </si>
  <si>
    <t>Galaxy Inv 4068</t>
  </si>
  <si>
    <t xml:space="preserve">James Davenport </t>
  </si>
  <si>
    <t>£20.00</t>
  </si>
  <si>
    <t>Wesham Council - INV 15620</t>
  </si>
  <si>
    <t>Galaxy Inv - 4097</t>
  </si>
  <si>
    <t>£30</t>
  </si>
  <si>
    <t>Galaxy multi invoices</t>
  </si>
  <si>
    <t>PDPL Inv 74</t>
  </si>
  <si>
    <t>Ewa Romanczuk</t>
  </si>
  <si>
    <t xml:space="preserve">Galaxy Inv 4208 </t>
  </si>
  <si>
    <t>Galaxy Inv 64903</t>
  </si>
  <si>
    <t xml:space="preserve">Kirkham Cricket Club </t>
  </si>
  <si>
    <t>PDPL Inv 54</t>
  </si>
  <si>
    <t>Kate Kidd</t>
  </si>
  <si>
    <t>Galaxy Inv 53792</t>
  </si>
  <si>
    <t>Galaxy Inv 65060</t>
  </si>
  <si>
    <t>Galaxy Inv 65138</t>
  </si>
  <si>
    <t>£26.50</t>
  </si>
  <si>
    <t>Galaxy Inv 53881</t>
  </si>
  <si>
    <t xml:space="preserve">Barry Simpson </t>
  </si>
  <si>
    <t>Galaxy Inv 65249</t>
  </si>
  <si>
    <t xml:space="preserve">Michael Day </t>
  </si>
  <si>
    <t>Galaxy Inv 4273</t>
  </si>
  <si>
    <t>Galaxy Inv 53984</t>
  </si>
  <si>
    <t>Galaxy Inv 65396</t>
  </si>
  <si>
    <t>£23.00</t>
  </si>
  <si>
    <t>25/03/2021</t>
  </si>
  <si>
    <t>Pro Direct Soccer</t>
  </si>
  <si>
    <t>Vodafone</t>
  </si>
  <si>
    <t>Terra Consult</t>
  </si>
  <si>
    <t>Net World Sports</t>
  </si>
  <si>
    <t>Galaxy Inv 4321</t>
  </si>
  <si>
    <t>Andrew Short</t>
  </si>
  <si>
    <t>Daniel Bunce</t>
  </si>
  <si>
    <t>Richard Lancaster</t>
  </si>
  <si>
    <t>Paul Dutton</t>
  </si>
  <si>
    <t>Maymans Kirkham</t>
  </si>
  <si>
    <t>Makro</t>
  </si>
  <si>
    <t>Grundys</t>
  </si>
  <si>
    <t>Poundstetcher</t>
  </si>
  <si>
    <t>Galaxy 65616</t>
  </si>
  <si>
    <t>Galaxy 65615</t>
  </si>
  <si>
    <t>Dan Farnworth</t>
  </si>
  <si>
    <t>Galaxy 65655</t>
  </si>
  <si>
    <t>DANVIC Turf Care</t>
  </si>
  <si>
    <t>AFC Fylde March Inv</t>
  </si>
  <si>
    <t>AFC Fylde April Inv</t>
  </si>
  <si>
    <t>Galaxy Inv 4332</t>
  </si>
  <si>
    <t>26/04/2021</t>
  </si>
  <si>
    <t>Lancashire FA</t>
  </si>
  <si>
    <t xml:space="preserve">AFC Fylde </t>
  </si>
  <si>
    <t>Safe and Insured</t>
  </si>
  <si>
    <t>Taylor Lawrenson</t>
  </si>
  <si>
    <t>Junayd Vorajee</t>
  </si>
  <si>
    <t xml:space="preserve">PDQ Contractors </t>
  </si>
  <si>
    <t>Andrew Butterworth</t>
  </si>
  <si>
    <t>Bob Pye</t>
  </si>
  <si>
    <t>Amy Farnworth</t>
  </si>
  <si>
    <t>Discountfootballkits.com</t>
  </si>
  <si>
    <t>WWW.DISCOUN</t>
  </si>
  <si>
    <t>WES LAWRENSON</t>
  </si>
  <si>
    <t>VESTA *VODAFONE</t>
  </si>
  <si>
    <t>ANDY LAWRENSON</t>
  </si>
  <si>
    <t>GK TRAINING</t>
  </si>
  <si>
    <t>Karl Swan</t>
  </si>
  <si>
    <t>Galaxy 54260</t>
  </si>
  <si>
    <t>Galaxy 66017</t>
  </si>
  <si>
    <t>Amazon</t>
  </si>
  <si>
    <t>Wes LAwrenson</t>
  </si>
  <si>
    <t xml:space="preserve">Matthew Cottle </t>
  </si>
  <si>
    <t>DD's</t>
  </si>
  <si>
    <t>ZEN INTERNET LTD</t>
  </si>
  <si>
    <t>D/D</t>
  </si>
  <si>
    <t>LONDON &amp; ZURICH LT</t>
  </si>
  <si>
    <t>REVENUE</t>
  </si>
  <si>
    <t>BAC</t>
  </si>
  <si>
    <t>DAVENPORT J</t>
  </si>
  <si>
    <t>LEANNE MOLYNEUX &amp;</t>
  </si>
  <si>
    <t>KIFC TRAINING SUBS</t>
  </si>
  <si>
    <t>Interest</t>
  </si>
  <si>
    <t>INT</t>
  </si>
  <si>
    <t>KIFC LEGACIES ACCOUN</t>
  </si>
  <si>
    <t>KIFC LEGACIES ACCOUNT</t>
  </si>
  <si>
    <t>KIRKHAM JUNIOR FC</t>
  </si>
  <si>
    <t>Categories</t>
  </si>
  <si>
    <t>Use this sheet to define expense, cost, and revenue categories. These categories are used to populate other sheets in this spreadsheet.</t>
  </si>
  <si>
    <t>Category Name</t>
  </si>
  <si>
    <t>Category Type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</si>
</sst>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9">
    <numFmt numFmtId="164" formatCode="#,##0.00;\(#,##0.00\)"/>
    <numFmt numFmtId="165" formatCode="mmm"/>
    <numFmt numFmtId="166" formatCode="#,###;\(#,###\);\-"/>
    <numFmt numFmtId="167" formatCode="#,##0;\(#,##0\)"/>
    <numFmt numFmtId="168" formatCode="_-&quot;£&quot;* #,##0.00_-;\-&quot;£&quot;* #,##0.00_-;_-&quot;£&quot;* &quot;-&quot;??_-;_-@"/>
    <numFmt numFmtId="169" formatCode="_-[$£-809]* #,##0.00_-;\-[$£-809]* #,##0.00_-;_-[$£-809]* &quot;-&quot;??_-;_-@"/>
    <numFmt numFmtId="170" formatCode="_([$£-809]* #,##0.00_);_([$£-809]* \(#,##0.00\);_([$£-809]* &quot;-&quot;??_);_(@_)"/>
    <numFmt numFmtId="171" formatCode="[$£]#,##0.00"/>
    <numFmt numFmtId="172" formatCode="d/m/yyyy"/>
  </numFmts>
  <fonts count="50">
    <font>
      <sz val="10.0"/>
      <color rgb="FF000000"/>
      <name val="Arial"/>
    </font>
    <font>
      <i/>
      <sz val="10.0"/>
      <color rgb="FF797E85"/>
      <name val="Roboto"/>
    </font>
    <font>
      <b/>
      <sz val="27.0"/>
      <color rgb="FFFFFFFF"/>
      <name val="Roboto"/>
    </font>
    <font>
      <b/>
      <i/>
      <sz val="9.0"/>
      <color rgb="FFFFFFFF"/>
      <name val="Roboto"/>
    </font>
    <font>
      <b/>
      <sz val="10.0"/>
      <color rgb="FFFFFFFF"/>
      <name val="Roboto"/>
    </font>
    <font>
      <b/>
      <i/>
      <sz val="10.0"/>
      <color rgb="FFFFFFFF"/>
      <name val="Roboto"/>
    </font>
    <font>
      <sz val="12.0"/>
      <color rgb="FF797E85"/>
      <name val="Roboto"/>
    </font>
    <font>
      <b/>
      <sz val="12.0"/>
      <color rgb="FF13B5EA"/>
      <name val="Roboto"/>
    </font>
    <font>
      <sz val="12.0"/>
      <color rgb="FF13B5EA"/>
      <name val="Roboto"/>
    </font>
    <font>
      <sz val="10.0"/>
      <color rgb="FFFFFFFF"/>
      <name val="Roboto"/>
    </font>
    <font>
      <b/>
      <sz val="10.0"/>
      <color rgb="FF797E85"/>
      <name val="Roboto"/>
    </font>
    <font>
      <b/>
      <sz val="10.0"/>
      <color theme="1"/>
      <name val="Roboto"/>
    </font>
    <font>
      <sz val="10.0"/>
      <color rgb="FF797E85"/>
      <name val="Roboto"/>
    </font>
    <font>
      <sz val="10.0"/>
      <color rgb="FF767676"/>
      <name val="Roboto"/>
    </font>
    <font>
      <sz val="10.0"/>
      <color theme="1"/>
      <name val="Roboto"/>
    </font>
    <font>
      <sz val="11.0"/>
      <color rgb="FF797E85"/>
      <name val="Roboto"/>
    </font>
    <font>
      <b/>
      <sz val="11.0"/>
      <color rgb="FF797E85"/>
      <name val="Roboto"/>
    </font>
    <font>
      <sz val="11.0"/>
      <color rgb="FF767676"/>
      <name val="Roboto"/>
    </font>
    <font>
      <sz val="11.0"/>
      <color rgb="FF000000"/>
      <name val="Inconsolata"/>
    </font>
    <font>
      <sz val="11.0"/>
      <color rgb="FFFFFFFF"/>
      <name val="Roboto"/>
    </font>
    <font>
      <b/>
      <sz val="11.0"/>
      <color rgb="FFFFFFFF"/>
      <name val="Roboto"/>
    </font>
    <font>
      <b/>
      <sz val="24.0"/>
      <color rgb="FF767676"/>
      <name val="Roboto"/>
    </font>
    <font>
      <b/>
      <sz val="26.0"/>
      <color rgb="FF767676"/>
      <name val="Roboto"/>
    </font>
    <font>
      <b/>
      <sz val="28.0"/>
      <color rgb="FFFFFFFF"/>
      <name val="Roboto"/>
    </font>
    <font/>
    <font>
      <b/>
      <sz val="10.0"/>
      <color rgb="FF767676"/>
      <name val="Roboto"/>
    </font>
    <font>
      <b/>
      <i/>
      <sz val="10.0"/>
      <color rgb="FF767676"/>
      <name val="Roboto"/>
    </font>
    <font>
      <sz val="16.0"/>
      <color rgb="FF767676"/>
      <name val="Roboto"/>
    </font>
    <font>
      <b/>
      <sz val="12.0"/>
      <color rgb="FF767676"/>
      <name val="Roboto"/>
    </font>
    <font>
      <i/>
      <sz val="16.0"/>
      <color rgb="FF767676"/>
      <name val="Roboto"/>
    </font>
    <font>
      <sz val="14.0"/>
      <color rgb="FF767676"/>
      <name val="Roboto"/>
    </font>
    <font>
      <b/>
      <i/>
      <sz val="14.0"/>
      <color rgb="FF767676"/>
      <name val="Roboto"/>
    </font>
    <font>
      <i/>
      <sz val="10.0"/>
      <color rgb="FF767676"/>
      <name val="Roboto"/>
    </font>
    <font>
      <b/>
      <i/>
      <sz val="12.0"/>
      <color rgb="FF767676"/>
      <name val="Roboto"/>
    </font>
    <font>
      <b/>
      <i/>
      <sz val="10.0"/>
      <color rgb="FF767676"/>
      <name val="Arial"/>
    </font>
    <font>
      <b/>
      <sz val="11.0"/>
      <color theme="1"/>
      <name val="Calibri"/>
    </font>
    <font>
      <sz val="11.0"/>
      <color theme="1"/>
      <name val="Calibri"/>
    </font>
    <font>
      <sz val="11.0"/>
      <color rgb="FF1155CC"/>
      <name val="Inconsolata"/>
    </font>
    <font>
      <b/>
      <sz val="10.0"/>
      <color theme="1"/>
      <name val="Arial"/>
    </font>
    <font>
      <sz val="10.0"/>
      <color theme="1"/>
      <name val="Arial"/>
    </font>
    <font>
      <sz val="10.0"/>
      <color rgb="FF000000"/>
      <name val="Roboto"/>
    </font>
    <font>
      <b/>
      <sz val="10.0"/>
      <color rgb="FF45474D"/>
      <name val="Roboto"/>
    </font>
    <font>
      <sz val="10.0"/>
      <color rgb="FF45474D"/>
      <name val="Roboto"/>
    </font>
    <font>
      <b/>
      <sz val="9.0"/>
      <color rgb="FFFFFFFF"/>
      <name val="Roboto"/>
    </font>
    <font>
      <sz val="9.0"/>
      <color rgb="FFFFFFFF"/>
      <name val="Roboto"/>
    </font>
    <font>
      <i/>
      <sz val="10.0"/>
      <color rgb="FFFFFFFF"/>
      <name val="Roboto"/>
    </font>
    <font>
      <b/>
      <sz val="12.0"/>
      <color rgb="FFFFFFFF"/>
      <name val="Roboto"/>
    </font>
    <font>
      <u/>
      <sz val="10.0"/>
      <color rgb="FF1155CC"/>
      <name val="Arial"/>
    </font>
    <font>
      <sz val="10.0"/>
      <color rgb="FF000000"/>
      <name val="Rnhousesans-regular"/>
    </font>
    <font>
      <color theme="1"/>
      <name val="Calibri"/>
    </font>
  </fonts>
  <fills count="13">
    <fill>
      <patternFill patternType="none"/>
    </fill>
    <fill>
      <patternFill patternType="lightGray"/>
    </fill>
    <fill>
      <patternFill patternType="solid">
        <fgColor rgb="FF13B5EA"/>
        <bgColor rgb="FF13B5EA"/>
      </patternFill>
    </fill>
    <fill>
      <patternFill patternType="solid">
        <fgColor rgb="FFFFFFFF"/>
        <bgColor rgb="FFFFFFFF"/>
      </patternFill>
    </fill>
    <fill>
      <patternFill patternType="solid">
        <fgColor rgb="FFE1F6FD"/>
        <bgColor rgb="FFE1F6FD"/>
      </patternFill>
    </fill>
    <fill>
      <patternFill patternType="solid">
        <fgColor rgb="FFF3FCFF"/>
        <bgColor rgb="FFF3FCFF"/>
      </patternFill>
    </fill>
    <fill>
      <patternFill patternType="solid">
        <fgColor rgb="FFF3F3F3"/>
        <bgColor rgb="FFF3F3F3"/>
      </patternFill>
    </fill>
    <fill>
      <patternFill patternType="solid">
        <fgColor rgb="FFEAF9FE"/>
        <bgColor rgb="FFEAF9FE"/>
      </patternFill>
    </fill>
    <fill>
      <patternFill patternType="solid">
        <fgColor rgb="FFD9D9D9"/>
        <bgColor rgb="FFD9D9D9"/>
      </patternFill>
    </fill>
    <fill>
      <patternFill patternType="solid">
        <fgColor rgb="FF4DD0E1"/>
        <bgColor rgb="FF4DD0E1"/>
      </patternFill>
    </fill>
    <fill>
      <patternFill patternType="solid">
        <fgColor rgb="FFE0F7FA"/>
        <bgColor rgb="FFE0F7FA"/>
      </patternFill>
    </fill>
    <fill>
      <patternFill patternType="solid">
        <fgColor rgb="FFB7B7B7"/>
        <bgColor rgb="FFB7B7B7"/>
      </patternFill>
    </fill>
    <fill>
      <patternFill patternType="solid">
        <fgColor rgb="FFF8F8F8"/>
        <bgColor rgb="FFF8F8F8"/>
      </patternFill>
    </fill>
  </fills>
  <borders count="52">
    <border/>
    <border>
      <left/>
      <right/>
      <top/>
      <bottom/>
    </border>
    <border>
      <left/>
      <right/>
      <top/>
      <bottom style="dotted">
        <color rgb="FFCCCCCC"/>
      </bottom>
    </border>
    <border>
      <left/>
      <right/>
      <top/>
      <bottom style="thin">
        <color rgb="FFCCCCCC"/>
      </bottom>
    </border>
    <border>
      <bottom style="thin">
        <color rgb="FFCCCCCC"/>
      </bottom>
    </border>
    <border>
      <left/>
      <right/>
      <top/>
      <bottom style="thin">
        <color rgb="FF13B5EA"/>
      </bottom>
    </border>
    <border>
      <left/>
      <top/>
      <bottom/>
    </border>
    <border>
      <top/>
      <bottom/>
    </border>
    <border>
      <right/>
      <top/>
      <bottom/>
    </border>
    <border>
      <left/>
      <right/>
      <top style="thin">
        <color rgb="FFFFFFFF"/>
      </top>
      <bottom/>
    </border>
    <border>
      <left/>
      <right/>
      <top style="thin">
        <color rgb="FFFFFFFF"/>
      </top>
      <bottom style="thin">
        <color rgb="FFCCCCCC"/>
      </bottom>
    </border>
    <border>
      <left/>
      <top style="thin">
        <color rgb="FFFFFFFF"/>
      </top>
      <bottom style="thin">
        <color rgb="FFCCCCCC"/>
      </bottom>
    </border>
    <border>
      <right/>
      <top style="thin">
        <color rgb="FFFFFFFF"/>
      </top>
      <bottom style="thin">
        <color rgb="FFCCCCCC"/>
      </bottom>
    </border>
    <border>
      <left/>
      <right/>
      <top style="thin">
        <color rgb="FFFFFFFF"/>
      </top>
      <bottom style="thin">
        <color rgb="FF13B5EA"/>
      </bottom>
    </border>
    <border>
      <top style="thin">
        <color rgb="FFFFFFFF"/>
      </top>
      <bottom style="thin">
        <color rgb="FFD9D9D9"/>
      </bottom>
    </border>
    <border>
      <top style="thin">
        <color rgb="FFFFFFFF"/>
      </top>
    </border>
    <border>
      <bottom style="thin">
        <color rgb="FFBCBEC2"/>
      </bottom>
    </border>
    <border>
      <left style="thin">
        <color rgb="FFFFFFFF"/>
      </left>
      <right/>
      <top/>
      <bottom/>
    </border>
    <border>
      <left/>
      <right style="thin">
        <color rgb="FFFFFFFF"/>
      </right>
      <top/>
      <bottom/>
    </border>
    <border>
      <left style="hair">
        <color rgb="FFB7B7B7"/>
      </left>
      <right style="hair">
        <color rgb="FFB7B7B7"/>
      </right>
      <top style="hair">
        <color rgb="FFBCBEC2"/>
      </top>
      <bottom/>
    </border>
    <border>
      <left style="hair">
        <color rgb="FFB7B7B7"/>
      </left>
      <right style="hair">
        <color rgb="FFB7B7B7"/>
      </right>
      <top/>
      <bottom/>
    </border>
    <border>
      <bottom style="thin">
        <color rgb="FFB7B7B7"/>
      </bottom>
    </border>
    <border>
      <top style="hair">
        <color rgb="FF000000"/>
      </top>
    </border>
    <border>
      <left style="thin">
        <color rgb="FFFFFFFF"/>
      </left>
      <right/>
      <top/>
      <bottom style="thin">
        <color rgb="FFB7B7B7"/>
      </bottom>
    </border>
    <border>
      <left/>
      <right/>
      <top/>
      <bottom style="thin">
        <color rgb="FFB7B7B7"/>
      </bottom>
    </border>
    <border>
      <left/>
      <right style="thin">
        <color rgb="FFFFFFFF"/>
      </right>
      <top/>
      <bottom style="thin">
        <color rgb="FFB7B7B7"/>
      </bottom>
    </border>
    <border>
      <left style="thin">
        <color rgb="FFFFFFFF"/>
      </left>
      <right/>
      <top/>
      <bottom style="thin">
        <color rgb="FFBCBEC2"/>
      </bottom>
    </border>
    <border>
      <left/>
      <right/>
      <top/>
      <bottom style="thin">
        <color rgb="FFBCBEC2"/>
      </bottom>
    </border>
    <border>
      <left/>
      <right style="thin">
        <color rgb="FFFFFFFF"/>
      </right>
      <top/>
      <bottom style="thin">
        <color rgb="FFBCBEC2"/>
      </bottom>
    </border>
    <border>
      <left style="hair">
        <color rgb="FFBCBEC2"/>
      </left>
      <right style="hair">
        <color rgb="FFBCBEC2"/>
      </right>
      <top style="hair">
        <color rgb="FFBCBEC2"/>
      </top>
      <bottom/>
    </border>
    <border>
      <left style="hair">
        <color rgb="FFBCBEC2"/>
      </left>
      <right style="hair">
        <color rgb="FFBCBEC2"/>
      </right>
      <top/>
      <bottom/>
    </border>
    <border>
      <left style="hair">
        <color rgb="FFBCBEC2"/>
      </left>
      <right style="hair">
        <color rgb="FFBCBEC2"/>
      </right>
      <top/>
      <bottom style="hair">
        <color rgb="FFBCBEC2"/>
      </bottom>
    </border>
    <border>
      <left style="hair">
        <color rgb="FFB7B7B7"/>
      </left>
      <right style="hair">
        <color rgb="FFB7B7B7"/>
      </right>
      <bottom style="hair">
        <color rgb="FFB7B7B7"/>
      </bottom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/>
    </border>
    <border>
      <left/>
      <right/>
      <top style="thin">
        <color rgb="FFFFFFFF"/>
      </top>
      <bottom style="thin">
        <color rgb="FFFFFFFF"/>
      </bottom>
    </border>
    <border>
      <left style="thin">
        <color rgb="FFFFFFFF"/>
      </left>
      <right/>
      <top/>
      <bottom style="thin">
        <color rgb="FFEFEFEF"/>
      </bottom>
    </border>
    <border>
      <left/>
      <right style="thin">
        <color rgb="FFEFEFEF"/>
      </right>
      <top/>
      <bottom style="thin">
        <color rgb="FFEFEFEF"/>
      </bottom>
    </border>
    <border>
      <left/>
      <right style="thin">
        <color rgb="FFBCBEC2"/>
      </right>
      <top/>
      <bottom style="thin">
        <color rgb="FFEFEFEF"/>
      </bottom>
    </border>
    <border>
      <left style="thin">
        <color rgb="FFFFFFFF"/>
      </left>
      <right/>
      <top style="thin">
        <color rgb="FFEFEFEF"/>
      </top>
      <bottom style="thin">
        <color rgb="FFEFEFEF"/>
      </bottom>
    </border>
    <border>
      <left/>
      <right style="thin">
        <color rgb="FFEFEFEF"/>
      </right>
      <top style="thin">
        <color rgb="FFEFEFEF"/>
      </top>
      <bottom style="thin">
        <color rgb="FFEFEFEF"/>
      </bottom>
    </border>
    <border>
      <left style="thin">
        <color rgb="FFFFFFFF"/>
      </left>
      <right/>
      <top/>
      <bottom style="thin">
        <color rgb="FFFFFFFF"/>
      </bottom>
    </border>
    <border>
      <left/>
      <right/>
      <top/>
      <bottom style="thin">
        <color rgb="FFFFFFFF"/>
      </bottom>
    </border>
    <border>
      <left/>
      <right/>
      <top/>
      <bottom style="thin">
        <color rgb="FF000000"/>
      </bottom>
    </border>
  </borders>
  <cellStyleXfs count="1">
    <xf borderId="0" fillId="0" fontId="0" numFmtId="0" applyAlignment="1" applyFont="1"/>
  </cellStyleXfs>
  <cellXfs count="275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2" numFmtId="0" xfId="0" applyBorder="1" applyFont="1"/>
    <xf borderId="1" fillId="2" fontId="3" numFmtId="0" xfId="0" applyAlignment="1" applyBorder="1" applyFont="1">
      <alignment vertical="center"/>
    </xf>
    <xf borderId="1" fillId="2" fontId="4" numFmtId="0" xfId="0" applyAlignment="1" applyBorder="1" applyFont="1">
      <alignment vertical="center"/>
    </xf>
    <xf borderId="1" fillId="2" fontId="5" numFmtId="0" xfId="0" applyAlignment="1" applyBorder="1" applyFont="1">
      <alignment vertical="center"/>
    </xf>
    <xf borderId="1" fillId="3" fontId="6" numFmtId="0" xfId="0" applyAlignment="1" applyBorder="1" applyFill="1" applyFont="1">
      <alignment vertical="center"/>
    </xf>
    <xf borderId="2" fillId="3" fontId="7" numFmtId="0" xfId="0" applyAlignment="1" applyBorder="1" applyFont="1">
      <alignment vertical="center"/>
    </xf>
    <xf borderId="2" fillId="3" fontId="8" numFmtId="164" xfId="0" applyAlignment="1" applyBorder="1" applyFont="1" applyNumberFormat="1">
      <alignment vertical="center"/>
    </xf>
    <xf borderId="1" fillId="3" fontId="6" numFmtId="0" xfId="0" applyBorder="1" applyFont="1"/>
    <xf borderId="1" fillId="3" fontId="7" numFmtId="0" xfId="0" applyAlignment="1" applyBorder="1" applyFont="1">
      <alignment vertical="center"/>
    </xf>
    <xf borderId="1" fillId="3" fontId="7" numFmtId="0" xfId="0" applyBorder="1" applyFont="1"/>
    <xf borderId="1" fillId="3" fontId="8" numFmtId="164" xfId="0" applyAlignment="1" applyBorder="1" applyFont="1" applyNumberFormat="1">
      <alignment vertical="center"/>
    </xf>
    <xf borderId="0" fillId="0" fontId="9" numFmtId="0" xfId="0" applyFont="1"/>
    <xf borderId="1" fillId="3" fontId="4" numFmtId="0" xfId="0" applyBorder="1" applyFont="1"/>
    <xf borderId="1" fillId="3" fontId="9" numFmtId="164" xfId="0" applyAlignment="1" applyBorder="1" applyFont="1" applyNumberFormat="1">
      <alignment vertical="center"/>
    </xf>
    <xf borderId="1" fillId="3" fontId="9" numFmtId="0" xfId="0" applyBorder="1" applyFont="1"/>
    <xf borderId="1" fillId="3" fontId="4" numFmtId="165" xfId="0" applyAlignment="1" applyBorder="1" applyFont="1" applyNumberFormat="1">
      <alignment vertical="center"/>
    </xf>
    <xf borderId="1" fillId="3" fontId="4" numFmtId="166" xfId="0" applyBorder="1" applyFont="1" applyNumberFormat="1"/>
    <xf borderId="1" fillId="3" fontId="4" numFmtId="0" xfId="0" applyAlignment="1" applyBorder="1" applyFont="1">
      <alignment vertical="center"/>
    </xf>
    <xf borderId="1" fillId="3" fontId="10" numFmtId="0" xfId="0" applyAlignment="1" applyBorder="1" applyFont="1">
      <alignment vertical="center"/>
    </xf>
    <xf borderId="3" fillId="3" fontId="10" numFmtId="0" xfId="0" applyAlignment="1" applyBorder="1" applyFont="1">
      <alignment vertical="center"/>
    </xf>
    <xf borderId="3" fillId="3" fontId="10" numFmtId="0" xfId="0" applyAlignment="1" applyBorder="1" applyFont="1">
      <alignment horizontal="right" vertical="center"/>
    </xf>
    <xf borderId="1" fillId="3" fontId="11" numFmtId="0" xfId="0" applyAlignment="1" applyBorder="1" applyFont="1">
      <alignment vertical="center"/>
    </xf>
    <xf borderId="1" fillId="3" fontId="12" numFmtId="0" xfId="0" applyBorder="1" applyFont="1"/>
    <xf borderId="1" fillId="4" fontId="13" numFmtId="165" xfId="0" applyAlignment="1" applyBorder="1" applyFill="1" applyFont="1" applyNumberFormat="1">
      <alignment horizontal="left"/>
    </xf>
    <xf borderId="1" fillId="3" fontId="13" numFmtId="166" xfId="0" applyBorder="1" applyFont="1" applyNumberFormat="1"/>
    <xf borderId="1" fillId="3" fontId="14" numFmtId="0" xfId="0" applyBorder="1" applyFont="1"/>
    <xf borderId="1" fillId="5" fontId="13" numFmtId="165" xfId="0" applyAlignment="1" applyBorder="1" applyFill="1" applyFont="1" applyNumberFormat="1">
      <alignment horizontal="left"/>
    </xf>
    <xf borderId="0" fillId="0" fontId="15" numFmtId="0" xfId="0" applyFont="1"/>
    <xf borderId="0" fillId="0" fontId="12" numFmtId="0" xfId="0" applyFont="1"/>
    <xf borderId="0" fillId="0" fontId="16" numFmtId="0" xfId="0" applyFont="1"/>
    <xf borderId="0" fillId="0" fontId="15" numFmtId="167" xfId="0" applyFont="1" applyNumberFormat="1"/>
    <xf borderId="0" fillId="0" fontId="16" numFmtId="0" xfId="0" applyAlignment="1" applyFont="1">
      <alignment vertical="center"/>
    </xf>
    <xf borderId="4" fillId="0" fontId="10" numFmtId="0" xfId="0" applyAlignment="1" applyBorder="1" applyFont="1">
      <alignment vertical="center"/>
    </xf>
    <xf borderId="4" fillId="0" fontId="15" numFmtId="167" xfId="0" applyAlignment="1" applyBorder="1" applyFont="1" applyNumberFormat="1">
      <alignment vertical="center"/>
    </xf>
    <xf borderId="0" fillId="0" fontId="12" numFmtId="0" xfId="0" applyAlignment="1" applyFont="1">
      <alignment vertical="center"/>
    </xf>
    <xf borderId="1" fillId="3" fontId="12" numFmtId="0" xfId="0" applyAlignment="1" applyBorder="1" applyFont="1">
      <alignment vertical="center"/>
    </xf>
    <xf borderId="0" fillId="0" fontId="17" numFmtId="165" xfId="0" applyFont="1" applyNumberFormat="1"/>
    <xf borderId="0" fillId="0" fontId="17" numFmtId="167" xfId="0" applyFont="1" applyNumberFormat="1"/>
    <xf borderId="1" fillId="3" fontId="18" numFmtId="0" xfId="0" applyBorder="1" applyFont="1"/>
    <xf borderId="0" fillId="0" fontId="15" numFmtId="0" xfId="0" applyAlignment="1" applyFont="1">
      <alignment vertical="center"/>
    </xf>
    <xf borderId="0" fillId="0" fontId="17" numFmtId="165" xfId="0" applyAlignment="1" applyFont="1" applyNumberFormat="1">
      <alignment horizontal="left"/>
    </xf>
    <xf borderId="0" fillId="0" fontId="19" numFmtId="0" xfId="0" applyFont="1"/>
    <xf borderId="0" fillId="0" fontId="19" numFmtId="164" xfId="0" applyFont="1" applyNumberFormat="1"/>
    <xf borderId="0" fillId="0" fontId="20" numFmtId="0" xfId="0" applyAlignment="1" applyFont="1">
      <alignment vertical="center"/>
    </xf>
    <xf borderId="0" fillId="0" fontId="19" numFmtId="0" xfId="0" applyAlignment="1" applyFont="1">
      <alignment vertical="center"/>
    </xf>
    <xf borderId="4" fillId="0" fontId="15" numFmtId="0" xfId="0" applyAlignment="1" applyBorder="1" applyFont="1">
      <alignment vertical="center"/>
    </xf>
    <xf borderId="0" fillId="0" fontId="17" numFmtId="0" xfId="0" applyFont="1"/>
    <xf borderId="0" fillId="0" fontId="17" numFmtId="164" xfId="0" applyFont="1" applyNumberFormat="1"/>
    <xf borderId="0" fillId="0" fontId="15" numFmtId="164" xfId="0" applyFont="1" applyNumberFormat="1"/>
    <xf borderId="5" fillId="2" fontId="21" numFmtId="0" xfId="0" applyAlignment="1" applyBorder="1" applyFont="1">
      <alignment vertical="center"/>
    </xf>
    <xf borderId="5" fillId="2" fontId="22" numFmtId="0" xfId="0" applyAlignment="1" applyBorder="1" applyFont="1">
      <alignment vertical="center"/>
    </xf>
    <xf borderId="1" fillId="2" fontId="21" numFmtId="0" xfId="0" applyAlignment="1" applyBorder="1" applyFont="1">
      <alignment vertical="center"/>
    </xf>
    <xf borderId="1" fillId="2" fontId="23" numFmtId="0" xfId="0" applyAlignment="1" applyBorder="1" applyFont="1">
      <alignment vertical="center"/>
    </xf>
    <xf borderId="6" fillId="2" fontId="5" numFmtId="0" xfId="0" applyAlignment="1" applyBorder="1" applyFont="1">
      <alignment shrinkToFit="0" vertical="center" wrapText="1"/>
    </xf>
    <xf borderId="7" fillId="0" fontId="24" numFmtId="0" xfId="0" applyBorder="1" applyFont="1"/>
    <xf borderId="8" fillId="0" fontId="24" numFmtId="0" xfId="0" applyBorder="1" applyFont="1"/>
    <xf borderId="9" fillId="3" fontId="25" numFmtId="0" xfId="0" applyAlignment="1" applyBorder="1" applyFont="1">
      <alignment horizontal="center" vertical="center"/>
    </xf>
    <xf borderId="10" fillId="3" fontId="25" numFmtId="0" xfId="0" applyAlignment="1" applyBorder="1" applyFont="1">
      <alignment horizontal="center" vertical="center"/>
    </xf>
    <xf borderId="11" fillId="6" fontId="25" numFmtId="0" xfId="0" applyAlignment="1" applyBorder="1" applyFill="1" applyFont="1">
      <alignment horizontal="center" vertical="center"/>
    </xf>
    <xf borderId="12" fillId="0" fontId="24" numFmtId="0" xfId="0" applyBorder="1" applyFont="1"/>
    <xf borderId="13" fillId="2" fontId="4" numFmtId="0" xfId="0" applyAlignment="1" applyBorder="1" applyFont="1">
      <alignment horizontal="center" readingOrder="0" vertical="center"/>
    </xf>
    <xf borderId="13" fillId="2" fontId="4" numFmtId="165" xfId="0" applyAlignment="1" applyBorder="1" applyFont="1" applyNumberFormat="1">
      <alignment horizontal="center" vertical="center"/>
    </xf>
    <xf borderId="14" fillId="0" fontId="26" numFmtId="0" xfId="0" applyAlignment="1" applyBorder="1" applyFont="1">
      <alignment horizontal="center" vertical="center"/>
    </xf>
    <xf borderId="14" fillId="0" fontId="25" numFmtId="0" xfId="0" applyAlignment="1" applyBorder="1" applyFont="1">
      <alignment horizontal="center" vertical="center"/>
    </xf>
    <xf borderId="15" fillId="0" fontId="13" numFmtId="0" xfId="0" applyAlignment="1" applyBorder="1" applyFont="1">
      <alignment horizontal="center" vertical="center"/>
    </xf>
    <xf borderId="1" fillId="3" fontId="27" numFmtId="0" xfId="0" applyAlignment="1" applyBorder="1" applyFont="1">
      <alignment horizontal="left" vertical="center"/>
    </xf>
    <xf borderId="16" fillId="0" fontId="27" numFmtId="0" xfId="0" applyAlignment="1" applyBorder="1" applyFont="1">
      <alignment horizontal="left" vertical="center"/>
    </xf>
    <xf borderId="16" fillId="0" fontId="25" numFmtId="0" xfId="0" applyAlignment="1" applyBorder="1" applyFont="1">
      <alignment horizontal="left" vertical="center"/>
    </xf>
    <xf borderId="16" fillId="0" fontId="28" numFmtId="0" xfId="0" applyAlignment="1" applyBorder="1" applyFont="1">
      <alignment horizontal="left" vertical="center"/>
    </xf>
    <xf borderId="16" fillId="0" fontId="27" numFmtId="166" xfId="0" applyAlignment="1" applyBorder="1" applyFont="1" applyNumberFormat="1">
      <alignment horizontal="left" vertical="center"/>
    </xf>
    <xf borderId="16" fillId="0" fontId="29" numFmtId="166" xfId="0" applyAlignment="1" applyBorder="1" applyFont="1" applyNumberFormat="1">
      <alignment horizontal="left" vertical="center"/>
    </xf>
    <xf borderId="0" fillId="0" fontId="27" numFmtId="0" xfId="0" applyAlignment="1" applyFont="1">
      <alignment horizontal="left" vertical="center"/>
    </xf>
    <xf borderId="1" fillId="3" fontId="13" numFmtId="0" xfId="0" applyBorder="1" applyFont="1"/>
    <xf borderId="0" fillId="0" fontId="13" numFmtId="0" xfId="0" applyFont="1"/>
    <xf borderId="0" fillId="0" fontId="30" numFmtId="0" xfId="0" applyFont="1"/>
    <xf borderId="0" fillId="0" fontId="25" numFmtId="0" xfId="0" applyAlignment="1" applyFont="1">
      <alignment vertical="center"/>
    </xf>
    <xf borderId="17" fillId="5" fontId="13" numFmtId="166" xfId="0" applyBorder="1" applyFont="1" applyNumberFormat="1"/>
    <xf borderId="1" fillId="5" fontId="13" numFmtId="166" xfId="0" applyBorder="1" applyFont="1" applyNumberFormat="1"/>
    <xf borderId="18" fillId="5" fontId="13" numFmtId="166" xfId="0" applyBorder="1" applyFont="1" applyNumberFormat="1"/>
    <xf borderId="0" fillId="0" fontId="26" numFmtId="166" xfId="0" applyFont="1" applyNumberFormat="1"/>
    <xf borderId="0" fillId="0" fontId="13" numFmtId="10" xfId="0" applyAlignment="1" applyFont="1" applyNumberFormat="1">
      <alignment horizontal="center"/>
    </xf>
    <xf borderId="0" fillId="0" fontId="13" numFmtId="166" xfId="0" applyFont="1" applyNumberFormat="1"/>
    <xf borderId="0" fillId="0" fontId="13" numFmtId="0" xfId="0" applyAlignment="1" applyFont="1">
      <alignment horizontal="left"/>
    </xf>
    <xf borderId="0" fillId="0" fontId="26" numFmtId="166" xfId="0" applyAlignment="1" applyFont="1" applyNumberFormat="1">
      <alignment horizontal="right"/>
    </xf>
    <xf borderId="19" fillId="6" fontId="25" numFmtId="9" xfId="0" applyBorder="1" applyFont="1" applyNumberFormat="1"/>
    <xf borderId="20" fillId="6" fontId="25" numFmtId="9" xfId="0" applyBorder="1" applyFont="1" applyNumberFormat="1"/>
    <xf borderId="21" fillId="0" fontId="13" numFmtId="166" xfId="0" applyBorder="1" applyFont="1" applyNumberFormat="1"/>
    <xf borderId="22" fillId="0" fontId="25" numFmtId="0" xfId="0" applyBorder="1" applyFont="1"/>
    <xf borderId="17" fillId="5" fontId="13" numFmtId="166" xfId="0" applyAlignment="1" applyBorder="1" applyFont="1" applyNumberFormat="1">
      <alignment horizontal="right"/>
    </xf>
    <xf borderId="15" fillId="0" fontId="13" numFmtId="0" xfId="0" applyBorder="1" applyFont="1"/>
    <xf borderId="15" fillId="0" fontId="30" numFmtId="0" xfId="0" applyBorder="1" applyFont="1"/>
    <xf borderId="15" fillId="0" fontId="25" numFmtId="0" xfId="0" applyBorder="1" applyFont="1"/>
    <xf borderId="15" fillId="0" fontId="24" numFmtId="0" xfId="0" applyBorder="1" applyFont="1"/>
    <xf borderId="15" fillId="0" fontId="26" numFmtId="166" xfId="0" applyBorder="1" applyFont="1" applyNumberFormat="1"/>
    <xf borderId="15" fillId="0" fontId="13" numFmtId="166" xfId="0" applyBorder="1" applyFont="1" applyNumberFormat="1"/>
    <xf borderId="21" fillId="0" fontId="13" numFmtId="0" xfId="0" applyBorder="1" applyFont="1"/>
    <xf borderId="23" fillId="5" fontId="13" numFmtId="166" xfId="0" applyBorder="1" applyFont="1" applyNumberFormat="1"/>
    <xf borderId="24" fillId="5" fontId="13" numFmtId="166" xfId="0" applyBorder="1" applyFont="1" applyNumberFormat="1"/>
    <xf borderId="25" fillId="5" fontId="13" numFmtId="166" xfId="0" applyBorder="1" applyFont="1" applyNumberFormat="1"/>
    <xf borderId="21" fillId="0" fontId="26" numFmtId="166" xfId="0" applyAlignment="1" applyBorder="1" applyFont="1" applyNumberFormat="1">
      <alignment horizontal="right"/>
    </xf>
    <xf borderId="0" fillId="0" fontId="25" numFmtId="0" xfId="0" applyFont="1"/>
    <xf borderId="1" fillId="3" fontId="29" numFmtId="0" xfId="0" applyAlignment="1" applyBorder="1" applyFont="1">
      <alignment vertical="top"/>
    </xf>
    <xf borderId="0" fillId="0" fontId="29" numFmtId="0" xfId="0" applyAlignment="1" applyFont="1">
      <alignment vertical="top"/>
    </xf>
    <xf borderId="0" fillId="0" fontId="31" numFmtId="0" xfId="0" applyAlignment="1" applyFont="1">
      <alignment vertical="top"/>
    </xf>
    <xf borderId="15" fillId="0" fontId="25" numFmtId="0" xfId="0" applyAlignment="1" applyBorder="1" applyFont="1">
      <alignment vertical="top"/>
    </xf>
    <xf borderId="15" fillId="0" fontId="32" numFmtId="0" xfId="0" applyAlignment="1" applyBorder="1" applyFont="1">
      <alignment vertical="top"/>
    </xf>
    <xf borderId="1" fillId="5" fontId="25" numFmtId="166" xfId="0" applyAlignment="1" applyBorder="1" applyFont="1" applyNumberFormat="1">
      <alignment horizontal="right" vertical="top"/>
    </xf>
    <xf borderId="15" fillId="0" fontId="26" numFmtId="166" xfId="0" applyAlignment="1" applyBorder="1" applyFont="1" applyNumberFormat="1">
      <alignment horizontal="right" vertical="top"/>
    </xf>
    <xf borderId="15" fillId="0" fontId="13" numFmtId="166" xfId="0" applyAlignment="1" applyBorder="1" applyFont="1" applyNumberFormat="1">
      <alignment vertical="top"/>
    </xf>
    <xf borderId="15" fillId="0" fontId="13" numFmtId="0" xfId="0" applyAlignment="1" applyBorder="1" applyFont="1">
      <alignment vertical="top"/>
    </xf>
    <xf borderId="16" fillId="0" fontId="13" numFmtId="0" xfId="0" applyBorder="1" applyFont="1"/>
    <xf borderId="16" fillId="0" fontId="30" numFmtId="0" xfId="0" applyBorder="1" applyFont="1"/>
    <xf borderId="26" fillId="5" fontId="13" numFmtId="166" xfId="0" applyBorder="1" applyFont="1" applyNumberFormat="1"/>
    <xf borderId="27" fillId="5" fontId="13" numFmtId="166" xfId="0" applyBorder="1" applyFont="1" applyNumberFormat="1"/>
    <xf borderId="28" fillId="5" fontId="13" numFmtId="166" xfId="0" applyBorder="1" applyFont="1" applyNumberFormat="1"/>
    <xf borderId="16" fillId="0" fontId="26" numFmtId="166" xfId="0" applyBorder="1" applyFont="1" applyNumberFormat="1"/>
    <xf borderId="16" fillId="0" fontId="13" numFmtId="10" xfId="0" applyAlignment="1" applyBorder="1" applyFont="1" applyNumberFormat="1">
      <alignment horizontal="center"/>
    </xf>
    <xf borderId="16" fillId="0" fontId="13" numFmtId="166" xfId="0" applyBorder="1" applyFont="1" applyNumberFormat="1"/>
    <xf borderId="1" fillId="3" fontId="27" numFmtId="0" xfId="0" applyAlignment="1" applyBorder="1" applyFont="1">
      <alignment vertical="top"/>
    </xf>
    <xf borderId="16" fillId="0" fontId="27" numFmtId="0" xfId="0" applyAlignment="1" applyBorder="1" applyFont="1">
      <alignment vertical="top"/>
    </xf>
    <xf borderId="16" fillId="0" fontId="25" numFmtId="0" xfId="0" applyAlignment="1" applyBorder="1" applyFont="1">
      <alignment vertical="center"/>
    </xf>
    <xf borderId="16" fillId="0" fontId="28" numFmtId="0" xfId="0" applyAlignment="1" applyBorder="1" applyFont="1">
      <alignment vertical="center"/>
    </xf>
    <xf borderId="27" fillId="3" fontId="28" numFmtId="166" xfId="0" applyAlignment="1" applyBorder="1" applyFont="1" applyNumberFormat="1">
      <alignment vertical="center"/>
    </xf>
    <xf borderId="16" fillId="0" fontId="33" numFmtId="166" xfId="0" applyAlignment="1" applyBorder="1" applyFont="1" applyNumberFormat="1">
      <alignment vertical="center"/>
    </xf>
    <xf borderId="0" fillId="0" fontId="28" numFmtId="0" xfId="0" applyAlignment="1" applyFont="1">
      <alignment vertical="center"/>
    </xf>
    <xf borderId="16" fillId="0" fontId="28" numFmtId="166" xfId="0" applyAlignment="1" applyBorder="1" applyFont="1" applyNumberFormat="1">
      <alignment vertical="center"/>
    </xf>
    <xf borderId="1" fillId="7" fontId="13" numFmtId="166" xfId="0" applyAlignment="1" applyBorder="1" applyFill="1" applyFont="1" applyNumberFormat="1">
      <alignment horizontal="right"/>
    </xf>
    <xf borderId="29" fillId="6" fontId="25" numFmtId="9" xfId="0" applyBorder="1" applyFont="1" applyNumberFormat="1"/>
    <xf borderId="30" fillId="6" fontId="25" numFmtId="9" xfId="0" applyBorder="1" applyFont="1" applyNumberFormat="1"/>
    <xf borderId="21" fillId="0" fontId="13" numFmtId="0" xfId="0" applyAlignment="1" applyBorder="1" applyFont="1">
      <alignment horizontal="left"/>
    </xf>
    <xf borderId="24" fillId="7" fontId="13" numFmtId="166" xfId="0" applyAlignment="1" applyBorder="1" applyFont="1" applyNumberFormat="1">
      <alignment horizontal="right"/>
    </xf>
    <xf borderId="31" fillId="6" fontId="25" numFmtId="9" xfId="0" applyBorder="1" applyFont="1" applyNumberFormat="1"/>
    <xf borderId="1" fillId="3" fontId="26" numFmtId="0" xfId="0" applyAlignment="1" applyBorder="1" applyFont="1">
      <alignment vertical="center"/>
    </xf>
    <xf borderId="0" fillId="0" fontId="26" numFmtId="0" xfId="0" applyAlignment="1" applyFont="1">
      <alignment vertical="center"/>
    </xf>
    <xf borderId="1" fillId="7" fontId="25" numFmtId="166" xfId="0" applyAlignment="1" applyBorder="1" applyFont="1" applyNumberFormat="1">
      <alignment horizontal="right" vertical="center"/>
    </xf>
    <xf borderId="0" fillId="0" fontId="34" numFmtId="166" xfId="0" applyAlignment="1" applyFont="1" applyNumberFormat="1">
      <alignment vertical="center"/>
    </xf>
    <xf borderId="32" fillId="0" fontId="25" numFmtId="0" xfId="0" applyAlignment="1" applyBorder="1" applyFont="1">
      <alignment horizontal="center" vertical="center"/>
    </xf>
    <xf borderId="0" fillId="0" fontId="13" numFmtId="0" xfId="0" applyAlignment="1" applyFont="1">
      <alignment vertical="center"/>
    </xf>
    <xf borderId="1" fillId="7" fontId="13" numFmtId="166" xfId="0" applyBorder="1" applyFont="1" applyNumberFormat="1"/>
    <xf borderId="1" fillId="3" fontId="13" numFmtId="0" xfId="0" applyAlignment="1" applyBorder="1" applyFont="1">
      <alignment vertical="center"/>
    </xf>
    <xf borderId="0" fillId="0" fontId="26" numFmtId="166" xfId="0" applyAlignment="1" applyFont="1" applyNumberFormat="1">
      <alignment horizontal="right" vertical="center"/>
    </xf>
    <xf borderId="33" fillId="0" fontId="25" numFmtId="10" xfId="0" applyAlignment="1" applyBorder="1" applyFont="1" applyNumberFormat="1">
      <alignment horizontal="center" vertical="top"/>
    </xf>
    <xf borderId="0" fillId="0" fontId="32" numFmtId="0" xfId="0" applyAlignment="1" applyFont="1">
      <alignment vertical="top"/>
    </xf>
    <xf borderId="1" fillId="7" fontId="13" numFmtId="166" xfId="0" applyAlignment="1" applyBorder="1" applyFont="1" applyNumberFormat="1">
      <alignment horizontal="right" vertical="top"/>
    </xf>
    <xf borderId="0" fillId="0" fontId="26" numFmtId="166" xfId="0" applyAlignment="1" applyFont="1" applyNumberFormat="1">
      <alignment horizontal="right" vertical="top"/>
    </xf>
    <xf borderId="34" fillId="0" fontId="35" numFmtId="0" xfId="0" applyBorder="1" applyFont="1"/>
    <xf borderId="34" fillId="0" fontId="36" numFmtId="0" xfId="0" applyBorder="1" applyFont="1"/>
    <xf borderId="34" fillId="8" fontId="35" numFmtId="0" xfId="0" applyBorder="1" applyFill="1" applyFont="1"/>
    <xf borderId="35" fillId="8" fontId="36" numFmtId="0" xfId="0" applyBorder="1" applyFont="1"/>
    <xf borderId="36" fillId="8" fontId="36" numFmtId="0" xfId="0" applyBorder="1" applyFont="1"/>
    <xf borderId="0" fillId="0" fontId="36" numFmtId="0" xfId="0" applyFont="1"/>
    <xf borderId="37" fillId="0" fontId="35" numFmtId="0" xfId="0" applyBorder="1" applyFont="1"/>
    <xf borderId="37" fillId="0" fontId="35" numFmtId="168" xfId="0" applyBorder="1" applyFont="1" applyNumberFormat="1"/>
    <xf borderId="0" fillId="0" fontId="35" numFmtId="0" xfId="0" applyFont="1"/>
    <xf borderId="1" fillId="8" fontId="35" numFmtId="0" xfId="0" applyBorder="1" applyFont="1"/>
    <xf borderId="1" fillId="8" fontId="36" numFmtId="0" xfId="0" applyBorder="1" applyFont="1"/>
    <xf borderId="38" fillId="0" fontId="35" numFmtId="0" xfId="0" applyBorder="1" applyFont="1"/>
    <xf borderId="39" fillId="0" fontId="36" numFmtId="168" xfId="0" applyAlignment="1" applyBorder="1" applyFont="1" applyNumberFormat="1">
      <alignment horizontal="right"/>
    </xf>
    <xf borderId="40" fillId="8" fontId="35" numFmtId="0" xfId="0" applyBorder="1" applyFont="1"/>
    <xf borderId="36" fillId="8" fontId="36" numFmtId="168" xfId="0" applyAlignment="1" applyBorder="1" applyFont="1" applyNumberFormat="1">
      <alignment horizontal="right"/>
    </xf>
    <xf borderId="0" fillId="0" fontId="36" numFmtId="168" xfId="0" applyAlignment="1" applyFont="1" applyNumberFormat="1">
      <alignment horizontal="right"/>
    </xf>
    <xf borderId="0" fillId="0" fontId="36" numFmtId="169" xfId="0" applyAlignment="1" applyFont="1" applyNumberFormat="1">
      <alignment horizontal="right"/>
    </xf>
    <xf borderId="1" fillId="8" fontId="36" numFmtId="168" xfId="0" applyAlignment="1" applyBorder="1" applyFont="1" applyNumberFormat="1">
      <alignment horizontal="right"/>
    </xf>
    <xf borderId="1" fillId="3" fontId="37" numFmtId="0" xfId="0" applyBorder="1" applyFont="1"/>
    <xf borderId="41" fillId="0" fontId="35" numFmtId="0" xfId="0" applyBorder="1" applyFont="1"/>
    <xf borderId="41" fillId="0" fontId="35" numFmtId="168" xfId="0" applyAlignment="1" applyBorder="1" applyFont="1" applyNumberFormat="1">
      <alignment horizontal="right"/>
    </xf>
    <xf borderId="42" fillId="8" fontId="35" numFmtId="0" xfId="0" applyBorder="1" applyFont="1"/>
    <xf borderId="42" fillId="8" fontId="35" numFmtId="168" xfId="0" applyAlignment="1" applyBorder="1" applyFont="1" applyNumberFormat="1">
      <alignment horizontal="right"/>
    </xf>
    <xf borderId="0" fillId="0" fontId="36" numFmtId="170" xfId="0" applyFont="1" applyNumberFormat="1"/>
    <xf borderId="34" fillId="8" fontId="36" numFmtId="0" xfId="0" applyBorder="1" applyFont="1"/>
    <xf borderId="1" fillId="8" fontId="36" numFmtId="169" xfId="0" applyAlignment="1" applyBorder="1" applyFont="1" applyNumberFormat="1">
      <alignment horizontal="right"/>
    </xf>
    <xf borderId="0" fillId="0" fontId="36" numFmtId="169" xfId="0" applyFont="1" applyNumberFormat="1"/>
    <xf borderId="1" fillId="8" fontId="36" numFmtId="169" xfId="0" applyBorder="1" applyFont="1" applyNumberFormat="1"/>
    <xf borderId="0" fillId="0" fontId="35" numFmtId="169" xfId="0" applyAlignment="1" applyFont="1" applyNumberFormat="1">
      <alignment horizontal="right"/>
    </xf>
    <xf borderId="1" fillId="8" fontId="35" numFmtId="169" xfId="0" applyAlignment="1" applyBorder="1" applyFont="1" applyNumberFormat="1">
      <alignment horizontal="right"/>
    </xf>
    <xf borderId="0" fillId="0" fontId="35" numFmtId="168" xfId="0" applyAlignment="1" applyFont="1" applyNumberFormat="1">
      <alignment horizontal="right"/>
    </xf>
    <xf borderId="1" fillId="8" fontId="35" numFmtId="168" xfId="0" applyAlignment="1" applyBorder="1" applyFont="1" applyNumberFormat="1">
      <alignment horizontal="right"/>
    </xf>
    <xf borderId="1" fillId="9" fontId="38" numFmtId="0" xfId="0" applyAlignment="1" applyBorder="1" applyFill="1" applyFont="1">
      <alignment horizontal="center"/>
    </xf>
    <xf borderId="1" fillId="3" fontId="39" numFmtId="0" xfId="0" applyAlignment="1" applyBorder="1" applyFont="1">
      <alignment horizontal="center"/>
    </xf>
    <xf borderId="0" fillId="0" fontId="39" numFmtId="0" xfId="0" applyAlignment="1" applyFont="1">
      <alignment horizontal="center"/>
    </xf>
    <xf borderId="1" fillId="10" fontId="40" numFmtId="0" xfId="0" applyAlignment="1" applyBorder="1" applyFill="1" applyFont="1">
      <alignment horizontal="left"/>
    </xf>
    <xf borderId="1" fillId="10" fontId="39" numFmtId="166" xfId="0" applyBorder="1" applyFont="1" applyNumberFormat="1"/>
    <xf borderId="1" fillId="8" fontId="39" numFmtId="0" xfId="0" applyBorder="1" applyFont="1"/>
    <xf borderId="1" fillId="10" fontId="39" numFmtId="0" xfId="0" applyBorder="1" applyFont="1"/>
    <xf borderId="1" fillId="3" fontId="39" numFmtId="0" xfId="0" applyBorder="1" applyFont="1"/>
    <xf borderId="1" fillId="3" fontId="39" numFmtId="0" xfId="0" applyBorder="1" applyFont="1"/>
    <xf borderId="0" fillId="0" fontId="40" numFmtId="0" xfId="0" applyAlignment="1" applyFont="1">
      <alignment horizontal="left"/>
    </xf>
    <xf borderId="0" fillId="0" fontId="39" numFmtId="166" xfId="0" applyFont="1" applyNumberFormat="1"/>
    <xf borderId="0" fillId="0" fontId="39" numFmtId="0" xfId="0" applyFont="1"/>
    <xf borderId="1" fillId="8" fontId="39" numFmtId="0" xfId="0" applyAlignment="1" applyBorder="1" applyFont="1">
      <alignment horizontal="right"/>
    </xf>
    <xf borderId="1" fillId="8" fontId="39" numFmtId="166" xfId="0" applyBorder="1" applyFont="1" applyNumberFormat="1"/>
    <xf borderId="1" fillId="8" fontId="39" numFmtId="0" xfId="0" applyBorder="1" applyFont="1"/>
    <xf borderId="1" fillId="10" fontId="39" numFmtId="0" xfId="0" applyBorder="1" applyFont="1"/>
    <xf borderId="1" fillId="9" fontId="38" numFmtId="0" xfId="0" applyAlignment="1" applyBorder="1" applyFont="1">
      <alignment horizontal="center"/>
    </xf>
    <xf borderId="1" fillId="3" fontId="40" numFmtId="0" xfId="0" applyAlignment="1" applyBorder="1" applyFont="1">
      <alignment horizontal="left"/>
    </xf>
    <xf borderId="1" fillId="3" fontId="39" numFmtId="166" xfId="0" applyBorder="1" applyFont="1" applyNumberFormat="1"/>
    <xf borderId="0" fillId="0" fontId="13" numFmtId="0" xfId="0" applyAlignment="1" applyFont="1">
      <alignment horizontal="right"/>
    </xf>
    <xf borderId="0" fillId="0" fontId="39" numFmtId="0" xfId="0" applyFont="1"/>
    <xf borderId="1" fillId="10" fontId="40" numFmtId="166" xfId="0" applyAlignment="1" applyBorder="1" applyFont="1" applyNumberFormat="1">
      <alignment horizontal="right"/>
    </xf>
    <xf borderId="1" fillId="11" fontId="39" numFmtId="0" xfId="0" applyBorder="1" applyFill="1" applyFont="1"/>
    <xf borderId="1" fillId="2" fontId="41" numFmtId="0" xfId="0" applyAlignment="1" applyBorder="1" applyFont="1">
      <alignment horizontal="center" vertical="center"/>
    </xf>
    <xf borderId="1" fillId="2" fontId="41" numFmtId="0" xfId="0" applyAlignment="1" applyBorder="1" applyFont="1">
      <alignment horizontal="left" vertical="center"/>
    </xf>
    <xf borderId="1" fillId="2" fontId="42" numFmtId="14" xfId="0" applyAlignment="1" applyBorder="1" applyFont="1" applyNumberFormat="1">
      <alignment horizontal="left" vertical="center"/>
    </xf>
    <xf borderId="1" fillId="2" fontId="42" numFmtId="0" xfId="0" applyAlignment="1" applyBorder="1" applyFont="1">
      <alignment horizontal="right" vertical="center"/>
    </xf>
    <xf borderId="1" fillId="2" fontId="43" numFmtId="0" xfId="0" applyAlignment="1" applyBorder="1" applyFont="1">
      <alignment horizontal="center" vertical="center"/>
    </xf>
    <xf borderId="6" fillId="2" fontId="23" numFmtId="0" xfId="0" applyAlignment="1" applyBorder="1" applyFont="1">
      <alignment horizontal="left" vertical="center"/>
    </xf>
    <xf borderId="1" fillId="2" fontId="44" numFmtId="0" xfId="0" applyAlignment="1" applyBorder="1" applyFont="1">
      <alignment horizontal="left" vertical="center"/>
    </xf>
    <xf borderId="1" fillId="2" fontId="45" numFmtId="0" xfId="0" applyAlignment="1" applyBorder="1" applyFont="1">
      <alignment horizontal="center" vertical="center"/>
    </xf>
    <xf borderId="6" fillId="2" fontId="5" numFmtId="0" xfId="0" applyAlignment="1" applyBorder="1" applyFont="1">
      <alignment horizontal="left" shrinkToFit="0" vertical="center" wrapText="1"/>
    </xf>
    <xf borderId="1" fillId="2" fontId="45" numFmtId="0" xfId="0" applyAlignment="1" applyBorder="1" applyFont="1">
      <alignment horizontal="left" vertical="center"/>
    </xf>
    <xf borderId="43" fillId="9" fontId="46" numFmtId="0" xfId="0" applyAlignment="1" applyBorder="1" applyFont="1">
      <alignment horizontal="left" vertical="center"/>
    </xf>
    <xf borderId="43" fillId="9" fontId="4" numFmtId="0" xfId="0" applyAlignment="1" applyBorder="1" applyFont="1">
      <alignment horizontal="left" vertical="center"/>
    </xf>
    <xf borderId="43" fillId="9" fontId="4" numFmtId="14" xfId="0" applyAlignment="1" applyBorder="1" applyFont="1" applyNumberFormat="1">
      <alignment horizontal="center" vertical="center"/>
    </xf>
    <xf borderId="43" fillId="9" fontId="9" numFmtId="0" xfId="0" applyAlignment="1" applyBorder="1" applyFont="1">
      <alignment horizontal="right" vertical="center"/>
    </xf>
    <xf borderId="43" fillId="9" fontId="4" numFmtId="0" xfId="0" applyAlignment="1" applyBorder="1" applyFont="1">
      <alignment horizontal="right" vertical="center"/>
    </xf>
    <xf borderId="1" fillId="9" fontId="4" numFmtId="0" xfId="0" applyAlignment="1" applyBorder="1" applyFont="1">
      <alignment horizontal="right" vertical="center"/>
    </xf>
    <xf borderId="44" fillId="3" fontId="25" numFmtId="0" xfId="0" applyBorder="1" applyFont="1"/>
    <xf borderId="45" fillId="3" fontId="13" numFmtId="0" xfId="0" applyBorder="1" applyFont="1"/>
    <xf borderId="1" fillId="3" fontId="39" numFmtId="14" xfId="0" applyAlignment="1" applyBorder="1" applyFont="1" applyNumberFormat="1">
      <alignment horizontal="center"/>
    </xf>
    <xf borderId="1" fillId="3" fontId="39" numFmtId="171" xfId="0" applyAlignment="1" applyBorder="1" applyFont="1" applyNumberFormat="1">
      <alignment horizontal="right"/>
    </xf>
    <xf borderId="46" fillId="3" fontId="13" numFmtId="4" xfId="0" applyAlignment="1" applyBorder="1" applyFont="1" applyNumberFormat="1">
      <alignment horizontal="right"/>
    </xf>
    <xf borderId="47" fillId="10" fontId="25" numFmtId="0" xfId="0" applyBorder="1" applyFont="1"/>
    <xf borderId="45" fillId="10" fontId="13" numFmtId="0" xfId="0" applyBorder="1" applyFont="1"/>
    <xf borderId="1" fillId="10" fontId="39" numFmtId="14" xfId="0" applyAlignment="1" applyBorder="1" applyFont="1" applyNumberFormat="1">
      <alignment horizontal="center"/>
    </xf>
    <xf borderId="1" fillId="10" fontId="39" numFmtId="171" xfId="0" applyAlignment="1" applyBorder="1" applyFont="1" applyNumberFormat="1">
      <alignment horizontal="right"/>
    </xf>
    <xf borderId="46" fillId="10" fontId="13" numFmtId="4" xfId="0" applyAlignment="1" applyBorder="1" applyFont="1" applyNumberFormat="1">
      <alignment horizontal="right"/>
    </xf>
    <xf borderId="47" fillId="3" fontId="25" numFmtId="0" xfId="0" applyBorder="1" applyFont="1"/>
    <xf borderId="48" fillId="3" fontId="13" numFmtId="0" xfId="0" applyAlignment="1" applyBorder="1" applyFont="1">
      <alignment vertical="center"/>
    </xf>
    <xf borderId="48" fillId="10" fontId="13" numFmtId="0" xfId="0" applyAlignment="1" applyBorder="1" applyFont="1">
      <alignment vertical="center"/>
    </xf>
    <xf borderId="49" fillId="10" fontId="25" numFmtId="0" xfId="0" applyBorder="1" applyFont="1"/>
    <xf borderId="50" fillId="10" fontId="13" numFmtId="0" xfId="0" applyBorder="1" applyFont="1"/>
    <xf borderId="1" fillId="3" fontId="25" numFmtId="0" xfId="0" applyBorder="1" applyFont="1"/>
    <xf borderId="1" fillId="10" fontId="25" numFmtId="0" xfId="0" applyBorder="1" applyFont="1"/>
    <xf borderId="1" fillId="10" fontId="13" numFmtId="0" xfId="0" applyBorder="1" applyFont="1"/>
    <xf borderId="1" fillId="3" fontId="13" numFmtId="4" xfId="0" applyAlignment="1" applyBorder="1" applyFont="1" applyNumberFormat="1">
      <alignment horizontal="right"/>
    </xf>
    <xf borderId="1" fillId="3" fontId="39" numFmtId="14" xfId="0" applyBorder="1" applyFont="1" applyNumberFormat="1"/>
    <xf borderId="1" fillId="10" fontId="39" numFmtId="14" xfId="0" applyBorder="1" applyFont="1" applyNumberFormat="1"/>
    <xf borderId="51" fillId="3" fontId="25" numFmtId="0" xfId="0" applyBorder="1" applyFont="1"/>
    <xf borderId="1" fillId="3" fontId="38" numFmtId="0" xfId="0" applyBorder="1" applyFont="1"/>
    <xf borderId="1" fillId="10" fontId="39" numFmtId="4" xfId="0" applyBorder="1" applyFont="1" applyNumberFormat="1"/>
    <xf borderId="1" fillId="3" fontId="39" numFmtId="4" xfId="0" applyBorder="1" applyFont="1" applyNumberFormat="1"/>
    <xf borderId="1" fillId="3" fontId="39" numFmtId="14" xfId="0" applyAlignment="1" applyBorder="1" applyFont="1" applyNumberFormat="1">
      <alignment horizontal="center" shrinkToFit="0" wrapText="1"/>
    </xf>
    <xf borderId="1" fillId="3" fontId="39" numFmtId="171" xfId="0" applyBorder="1" applyFont="1" applyNumberFormat="1"/>
    <xf borderId="1" fillId="10" fontId="39" numFmtId="14" xfId="0" applyAlignment="1" applyBorder="1" applyFont="1" applyNumberFormat="1">
      <alignment horizontal="center" shrinkToFit="0" wrapText="1"/>
    </xf>
    <xf borderId="1" fillId="10" fontId="39" numFmtId="171" xfId="0" applyBorder="1" applyFont="1" applyNumberFormat="1"/>
    <xf borderId="1" fillId="10" fontId="25" numFmtId="0" xfId="0" applyAlignment="1" applyBorder="1" applyFont="1">
      <alignment shrinkToFit="0" wrapText="1"/>
    </xf>
    <xf borderId="1" fillId="10" fontId="13" numFmtId="0" xfId="0" applyAlignment="1" applyBorder="1" applyFont="1">
      <alignment shrinkToFit="0" wrapText="1"/>
    </xf>
    <xf borderId="1" fillId="10" fontId="39" numFmtId="171" xfId="0" applyAlignment="1" applyBorder="1" applyFont="1" applyNumberFormat="1">
      <alignment shrinkToFit="0" wrapText="1"/>
    </xf>
    <xf borderId="1" fillId="10" fontId="39" numFmtId="0" xfId="0" applyAlignment="1" applyBorder="1" applyFont="1">
      <alignment shrinkToFit="0" wrapText="1"/>
    </xf>
    <xf borderId="1" fillId="10" fontId="39" numFmtId="0" xfId="0" applyAlignment="1" applyBorder="1" applyFont="1">
      <alignment horizontal="center"/>
    </xf>
    <xf borderId="1" fillId="3" fontId="0" numFmtId="0" xfId="0" applyBorder="1" applyFont="1"/>
    <xf borderId="1" fillId="10" fontId="47" numFmtId="0" xfId="0" applyBorder="1" applyFont="1"/>
    <xf borderId="1" fillId="3" fontId="38" numFmtId="0" xfId="0" applyAlignment="1" applyBorder="1" applyFont="1">
      <alignment horizontal="right"/>
    </xf>
    <xf borderId="1" fillId="3" fontId="39" numFmtId="14" xfId="0" applyAlignment="1" applyBorder="1" applyFont="1" applyNumberFormat="1">
      <alignment horizontal="right"/>
    </xf>
    <xf borderId="1" fillId="3" fontId="39" numFmtId="171" xfId="0" applyAlignment="1" applyBorder="1" applyFont="1" applyNumberFormat="1">
      <alignment horizontal="center"/>
    </xf>
    <xf borderId="1" fillId="10" fontId="39" numFmtId="14" xfId="0" applyAlignment="1" applyBorder="1" applyFont="1" applyNumberFormat="1">
      <alignment horizontal="right"/>
    </xf>
    <xf borderId="1" fillId="10" fontId="39" numFmtId="171" xfId="0" applyAlignment="1" applyBorder="1" applyFont="1" applyNumberFormat="1">
      <alignment horizontal="center"/>
    </xf>
    <xf borderId="34" fillId="3" fontId="48" numFmtId="0" xfId="0" applyAlignment="1" applyBorder="1" applyFont="1">
      <alignment horizontal="left" vertical="top"/>
    </xf>
    <xf borderId="1" fillId="3" fontId="48" numFmtId="0" xfId="0" applyAlignment="1" applyBorder="1" applyFont="1">
      <alignment horizontal="left" vertical="top"/>
    </xf>
    <xf borderId="1" fillId="3" fontId="39" numFmtId="172" xfId="0" applyAlignment="1" applyBorder="1" applyFont="1" applyNumberFormat="1">
      <alignment horizontal="right"/>
    </xf>
    <xf borderId="1" fillId="10" fontId="39" numFmtId="172" xfId="0" applyAlignment="1" applyBorder="1" applyFont="1" applyNumberFormat="1">
      <alignment horizontal="right"/>
    </xf>
    <xf borderId="1" fillId="10" fontId="13" numFmtId="4" xfId="0" applyAlignment="1" applyBorder="1" applyFont="1" applyNumberFormat="1">
      <alignment horizontal="right"/>
    </xf>
    <xf borderId="0" fillId="0" fontId="49" numFmtId="0" xfId="0" applyFont="1"/>
    <xf borderId="6" fillId="2" fontId="2" numFmtId="0" xfId="0" applyAlignment="1" applyBorder="1" applyFont="1">
      <alignment horizontal="left" vertical="center"/>
    </xf>
    <xf borderId="1" fillId="2" fontId="3" numFmtId="0" xfId="0" applyAlignment="1" applyBorder="1" applyFont="1">
      <alignment horizontal="left" shrinkToFit="0" vertical="center" wrapText="1"/>
    </xf>
    <xf borderId="9" fillId="2" fontId="46" numFmtId="0" xfId="0" applyAlignment="1" applyBorder="1" applyFont="1">
      <alignment horizontal="left" vertical="center"/>
    </xf>
    <xf borderId="9" fillId="2" fontId="4" numFmtId="0" xfId="0" applyAlignment="1" applyBorder="1" applyFont="1">
      <alignment horizontal="left" vertical="center"/>
    </xf>
    <xf borderId="43" fillId="2" fontId="4" numFmtId="0" xfId="0" applyAlignment="1" applyBorder="1" applyFont="1">
      <alignment horizontal="left" vertical="center"/>
    </xf>
    <xf borderId="43" fillId="2" fontId="46" numFmtId="0" xfId="0" applyAlignment="1" applyBorder="1" applyFont="1">
      <alignment horizontal="left" vertical="center"/>
    </xf>
    <xf borderId="1" fillId="12" fontId="9" numFmtId="0" xfId="0" applyAlignment="1" applyBorder="1" applyFill="1" applyFont="1">
      <alignment vertical="center"/>
    </xf>
    <xf borderId="1" fillId="12" fontId="13" numFmtId="0" xfId="0" applyAlignment="1" applyBorder="1" applyFont="1">
      <alignment vertical="center"/>
    </xf>
    <xf borderId="9" fillId="12" fontId="9" numFmtId="0" xfId="0" applyAlignment="1" applyBorder="1" applyFont="1">
      <alignment vertical="center"/>
    </xf>
    <xf borderId="9" fillId="12" fontId="13" numFmtId="0" xfId="0" applyAlignment="1" applyBorder="1" applyFont="1">
      <alignment vertical="center"/>
    </xf>
  </cellXfs>
  <cellStyles count="1">
    <cellStyle xfId="0" name="Normal" builtinId="0"/>
  </cellStyles>
  <dxfs count="6">
    <dxf>
      <font/>
      <fill>
        <patternFill patternType="solid">
          <fgColor rgb="FFE1F6FD"/>
          <bgColor rgb="FFE1F6FD"/>
        </patternFill>
      </fill>
      <border/>
    </dxf>
    <dxf>
      <font/>
      <fill>
        <patternFill patternType="solid">
          <fgColor rgb="FFF3FCFF"/>
          <bgColor rgb="FFF3FCFF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4DD0E1"/>
          <bgColor rgb="FF4DD0E1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E0F7FA"/>
          <bgColor rgb="FFE0F7FA"/>
        </patternFill>
      </fill>
      <border/>
    </dxf>
  </dxfs>
  <tableStyles count="3">
    <tableStyle count="3" pivot="0" name="2122 Budget-style">
      <tableStyleElement dxfId="3" type="headerRow"/>
      <tableStyleElement dxfId="4" type="firstRowStripe"/>
      <tableStyleElement dxfId="5" type="secondRowStripe"/>
    </tableStyle>
    <tableStyle count="3" pivot="0" name="2122 Budget-style 2">
      <tableStyleElement dxfId="3" type="headerRow"/>
      <tableStyleElement dxfId="4" type="firstRowStripe"/>
      <tableStyleElement dxfId="5" type="secondRowStripe"/>
    </tableStyle>
    <tableStyle count="3" pivot="0" name="2122 Budget-style 3">
      <tableStyleElement dxfId="3" type="headerRow"/>
      <tableStyleElement dxfId="4" type="firstRowStripe"/>
      <tableStyleElement dxfId="5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>
                <a:solidFill>
                  <a:srgbClr val="000000"/>
                </a:solidFill>
                <a:latin typeface="Roboto"/>
              </a:defRPr>
            </a:pPr>
            <a:r>
              <a:rPr b="0" i="0">
                <a:solidFill>
                  <a:srgbClr val="000000"/>
                </a:solidFill>
                <a:latin typeface="Roboto"/>
              </a:rPr>
              <a:t>Total revenue and total profit over time</a:t>
            </a:r>
          </a:p>
        </c:rich>
      </c:tx>
      <c:overlay val="0"/>
    </c:title>
    <c:plotArea>
      <c:layout>
        <c:manualLayout>
          <c:xMode val="edge"/>
          <c:yMode val="edge"/>
          <c:x val="0.139"/>
          <c:y val="0.19421"/>
          <c:w val="0.6332"/>
          <c:h val="0.6157"/>
        </c:manualLayout>
      </c:layout>
      <c:lineChart>
        <c:ser>
          <c:idx val="0"/>
          <c:order val="0"/>
          <c:tx>
            <c:v>Revenue</c:v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2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cat>
            <c:strRef>
              <c:f>Dashboard!$B$7:$B$20</c:f>
            </c:strRef>
          </c:cat>
          <c:val>
            <c:numRef>
              <c:f>Dashboard!$C$7:$C$20</c:f>
              <c:numCache/>
            </c:numRef>
          </c:val>
          <c:smooth val="0"/>
        </c:ser>
        <c:ser>
          <c:idx val="1"/>
          <c:order val="1"/>
          <c:tx>
            <c:v>Profit (Loss)</c:v>
          </c:tx>
          <c:spPr>
            <a:ln cmpd="sng">
              <a:solidFill>
                <a:srgbClr val="38761D"/>
              </a:solidFill>
            </a:ln>
          </c:spPr>
          <c:marker>
            <c:symbol val="circle"/>
            <c:size val="2"/>
            <c:spPr>
              <a:solidFill>
                <a:srgbClr val="38761D"/>
              </a:solidFill>
              <a:ln cmpd="sng">
                <a:solidFill>
                  <a:srgbClr val="38761D"/>
                </a:solidFill>
              </a:ln>
            </c:spPr>
          </c:marker>
          <c:cat>
            <c:strRef>
              <c:f>Dashboard!$B$7:$B$20</c:f>
            </c:strRef>
          </c:cat>
          <c:val>
            <c:numRef>
              <c:f>Dashboard!$D$7:$D$20</c:f>
              <c:numCache/>
            </c:numRef>
          </c:val>
          <c:smooth val="0"/>
        </c:ser>
        <c:axId val="978262304"/>
        <c:axId val="1853165493"/>
      </c:lineChart>
      <c:catAx>
        <c:axId val="978262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1" sz="1200">
                    <a:solidFill>
                      <a:srgbClr val="757575"/>
                    </a:solidFill>
                    <a:latin typeface="Roboto"/>
                  </a:defRPr>
                </a:pPr>
                <a:r>
                  <a:rPr b="0" i="1" sz="1200">
                    <a:solidFill>
                      <a:srgbClr val="757575"/>
                    </a:solidFill>
                    <a:latin typeface="Roboto"/>
                  </a:rPr>
                  <a:t>Month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 rot="-1800000"/>
          <a:lstStyle/>
          <a:p>
            <a:pPr lvl="0">
              <a:defRPr b="0" i="0">
                <a:solidFill>
                  <a:srgbClr val="000000"/>
                </a:solidFill>
                <a:latin typeface="Roboto"/>
              </a:defRPr>
            </a:pPr>
          </a:p>
        </c:txPr>
        <c:crossAx val="1853165493"/>
      </c:catAx>
      <c:valAx>
        <c:axId val="185316549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Roboto"/>
              </a:defRPr>
            </a:pPr>
          </a:p>
        </c:txPr>
        <c:crossAx val="978262304"/>
      </c:valAx>
    </c:plotArea>
    <c:legend>
      <c:legendPos val="r"/>
      <c:overlay val="0"/>
      <c:txPr>
        <a:bodyPr/>
        <a:lstStyle/>
        <a:p>
          <a:pPr lvl="0">
            <a:defRPr b="0" i="0" sz="1200">
              <a:solidFill>
                <a:srgbClr val="222222"/>
              </a:solidFill>
              <a:latin typeface="Roboto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333375</xdr:colOff>
      <xdr:row>3</xdr:row>
      <xdr:rowOff>57150</xdr:rowOff>
    </xdr:from>
    <xdr:ext cx="6391275" cy="3505200"/>
    <xdr:graphicFrame>
      <xdr:nvGraphicFramePr>
        <xdr:cNvPr id="1854613457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24:K43" displayName="Table_1" id="1">
  <tableColumns count="11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</tableColumns>
  <tableStyleInfo name="2122 Budget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2.xml><?xml version="1.0" encoding="utf-8"?>
<table xmlns="http://schemas.openxmlformats.org/spreadsheetml/2006/main" headerRowCount="0" ref="A3:J10" displayName="Table_2" id="2">
  <tableColumns count="10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</tableColumns>
  <tableStyleInfo name="2122 Budget-style 2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3.xml><?xml version="1.0" encoding="utf-8"?>
<table xmlns="http://schemas.openxmlformats.org/spreadsheetml/2006/main" headerRowCount="0" ref="A12:AA14" displayName="Table_3" id="3">
  <tableColumns count="27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</tableColumns>
  <tableStyleInfo name="2122 Budget-style 3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Relationship Id="rId5" Type="http://schemas.openxmlformats.org/officeDocument/2006/relationships/table" Target="../tables/table1.xml"/><Relationship Id="rId6" Type="http://schemas.openxmlformats.org/officeDocument/2006/relationships/table" Target="../tables/table2.xml"/><Relationship Id="rId7" Type="http://schemas.openxmlformats.org/officeDocument/2006/relationships/table" Target="../tables/table3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hyperlink" Target="http://discountfootballkits.com/" TargetMode="External"/><Relationship Id="rId2" Type="http://schemas.openxmlformats.org/officeDocument/2006/relationships/hyperlink" Target="http://discountfootballkits.com/" TargetMode="External"/><Relationship Id="rId3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FF"/>
    <outlinePr summaryBelow="0" summaryRight="0"/>
    <pageSetUpPr/>
  </sheetPr>
  <sheetViews>
    <sheetView showGridLines="0" workbookViewId="0"/>
  </sheetViews>
  <sheetFormatPr customHeight="1" defaultColWidth="14.43" defaultRowHeight="15.0"/>
  <cols>
    <col customWidth="1" min="1" max="1" width="5.14"/>
    <col customWidth="1" min="2" max="2" width="26.29"/>
    <col customWidth="1" min="3" max="3" width="30.29"/>
    <col customWidth="1" min="4" max="4" width="34.86"/>
    <col customWidth="1" min="5" max="5" width="5.14"/>
    <col customWidth="1" min="6" max="6" width="14.43"/>
  </cols>
  <sheetData>
    <row r="1" ht="30.0" customHeight="1">
      <c r="A1" s="1"/>
      <c r="B1" s="2" t="s">
        <v>0</v>
      </c>
      <c r="C1" s="3"/>
      <c r="D1" s="4"/>
      <c r="E1" s="5"/>
    </row>
    <row r="2" ht="45.0" customHeight="1">
      <c r="A2" s="6"/>
      <c r="B2" s="7" t="s">
        <v>1</v>
      </c>
      <c r="C2" s="7"/>
      <c r="D2" s="8">
        <f>'Profit &amp; Loss'!S15</f>
        <v>53996.32</v>
      </c>
      <c r="E2" s="6"/>
    </row>
    <row r="3" ht="45.0" customHeight="1">
      <c r="A3" s="9"/>
      <c r="B3" s="10" t="s">
        <v>2</v>
      </c>
      <c r="C3" s="11"/>
      <c r="D3" s="12">
        <f>'Profit &amp; Loss'!$S$48</f>
        <v>-455.68</v>
      </c>
      <c r="E3" s="9"/>
    </row>
    <row r="4" ht="15.75" customHeight="1">
      <c r="A4" s="9"/>
      <c r="B4" s="10"/>
      <c r="C4" s="11"/>
      <c r="D4" s="12"/>
      <c r="E4" s="9"/>
    </row>
    <row r="5" ht="15.75" customHeight="1">
      <c r="A5" s="9"/>
      <c r="B5" s="13" t="s">
        <v>3</v>
      </c>
      <c r="C5" s="14"/>
      <c r="D5" s="15"/>
      <c r="E5" s="16"/>
    </row>
    <row r="6" ht="15.75" customHeight="1">
      <c r="A6" s="9"/>
      <c r="B6" s="13" t="str">
        <f>IFERROR(__xludf.DUMMYFUNCTION("QUERY(B23:D35,""select B,C,D where C&lt;&gt;0 OR D&lt;&gt;0"")"),"Month")</f>
        <v>Month</v>
      </c>
      <c r="C6" s="14" t="str">
        <f>IFERROR(__xludf.DUMMYFUNCTION("""COMPUTED_VALUE"""),"Revenue")</f>
        <v>Revenue</v>
      </c>
      <c r="D6" s="15" t="str">
        <f>IFERROR(__xludf.DUMMYFUNCTION("""COMPUTED_VALUE"""),"Profit (Loss)")</f>
        <v>Profit (Loss)</v>
      </c>
      <c r="E6" s="16"/>
    </row>
    <row r="7" ht="15.75" customHeight="1">
      <c r="A7" s="9"/>
      <c r="B7" s="17">
        <f>IFERROR(__xludf.DUMMYFUNCTION("""COMPUTED_VALUE"""),61.0)</f>
        <v>61</v>
      </c>
      <c r="C7" s="18">
        <f>IFERROR(__xludf.DUMMYFUNCTION("""COMPUTED_VALUE"""),0.19)</f>
        <v>0.19</v>
      </c>
      <c r="D7" s="15">
        <f>IFERROR(__xludf.DUMMYFUNCTION("""COMPUTED_VALUE"""),-1514.84)</f>
        <v>-1514.84</v>
      </c>
      <c r="E7" s="16"/>
    </row>
    <row r="8" ht="15.75" customHeight="1">
      <c r="A8" s="9"/>
      <c r="B8" s="17">
        <f>IFERROR(__xludf.DUMMYFUNCTION("""COMPUTED_VALUE"""),92.0)</f>
        <v>92</v>
      </c>
      <c r="C8" s="18">
        <f>IFERROR(__xludf.DUMMYFUNCTION("""COMPUTED_VALUE"""),3946.67)</f>
        <v>3946.67</v>
      </c>
      <c r="D8" s="15">
        <f>IFERROR(__xludf.DUMMYFUNCTION("""COMPUTED_VALUE"""),-2302.7800000000007)</f>
        <v>-2302.78</v>
      </c>
      <c r="E8" s="16"/>
    </row>
    <row r="9" ht="15.75" customHeight="1">
      <c r="A9" s="9"/>
      <c r="B9" s="17">
        <f>IFERROR(__xludf.DUMMYFUNCTION("""COMPUTED_VALUE"""),122.0)</f>
        <v>122</v>
      </c>
      <c r="C9" s="18">
        <f>IFERROR(__xludf.DUMMYFUNCTION("""COMPUTED_VALUE"""),4807.65)</f>
        <v>4807.65</v>
      </c>
      <c r="D9" s="15">
        <f>IFERROR(__xludf.DUMMYFUNCTION("""COMPUTED_VALUE"""),541.2299999999996)</f>
        <v>541.23</v>
      </c>
      <c r="E9" s="16"/>
    </row>
    <row r="10" ht="15.75" customHeight="1">
      <c r="A10" s="9"/>
      <c r="B10" s="17">
        <f>IFERROR(__xludf.DUMMYFUNCTION("""COMPUTED_VALUE"""),153.0)</f>
        <v>153</v>
      </c>
      <c r="C10" s="18">
        <f>IFERROR(__xludf.DUMMYFUNCTION("""COMPUTED_VALUE"""),6446.13)</f>
        <v>6446.13</v>
      </c>
      <c r="D10" s="15">
        <f>IFERROR(__xludf.DUMMYFUNCTION("""COMPUTED_VALUE"""),-964.2399999999998)</f>
        <v>-964.24</v>
      </c>
      <c r="E10" s="16"/>
    </row>
    <row r="11" ht="15.75" customHeight="1">
      <c r="A11" s="9"/>
      <c r="B11" s="17">
        <f>IFERROR(__xludf.DUMMYFUNCTION("""COMPUTED_VALUE"""),183.0)</f>
        <v>183</v>
      </c>
      <c r="C11" s="18">
        <f>IFERROR(__xludf.DUMMYFUNCTION("""COMPUTED_VALUE"""),6315.14)</f>
        <v>6315.14</v>
      </c>
      <c r="D11" s="15">
        <f>IFERROR(__xludf.DUMMYFUNCTION("""COMPUTED_VALUE"""),280.4200000000001)</f>
        <v>280.42</v>
      </c>
      <c r="E11" s="16"/>
    </row>
    <row r="12" ht="15.75" customHeight="1">
      <c r="A12" s="9"/>
      <c r="B12" s="17">
        <f>IFERROR(__xludf.DUMMYFUNCTION("""COMPUTED_VALUE"""),214.0)</f>
        <v>214</v>
      </c>
      <c r="C12" s="18">
        <f>IFERROR(__xludf.DUMMYFUNCTION("""COMPUTED_VALUE"""),4976.15)</f>
        <v>4976.15</v>
      </c>
      <c r="D12" s="15">
        <f>IFERROR(__xludf.DUMMYFUNCTION("""COMPUTED_VALUE"""),3577.72)</f>
        <v>3577.72</v>
      </c>
      <c r="E12" s="16"/>
    </row>
    <row r="13" ht="15.75" customHeight="1">
      <c r="A13" s="9"/>
      <c r="B13" s="17">
        <f>IFERROR(__xludf.DUMMYFUNCTION("""COMPUTED_VALUE"""),245.0)</f>
        <v>245</v>
      </c>
      <c r="C13" s="18">
        <f>IFERROR(__xludf.DUMMYFUNCTION("""COMPUTED_VALUE"""),5881.45)</f>
        <v>5881.45</v>
      </c>
      <c r="D13" s="15">
        <f>IFERROR(__xludf.DUMMYFUNCTION("""COMPUTED_VALUE"""),-3625.7)</f>
        <v>-3625.7</v>
      </c>
      <c r="E13" s="16"/>
    </row>
    <row r="14" ht="15.75" customHeight="1">
      <c r="A14" s="9"/>
      <c r="B14" s="17">
        <f>IFERROR(__xludf.DUMMYFUNCTION("""COMPUTED_VALUE"""),275.0)</f>
        <v>275</v>
      </c>
      <c r="C14" s="18">
        <f>IFERROR(__xludf.DUMMYFUNCTION("""COMPUTED_VALUE"""),5516.27)</f>
        <v>5516.27</v>
      </c>
      <c r="D14" s="15">
        <f>IFERROR(__xludf.DUMMYFUNCTION("""COMPUTED_VALUE"""),4603.81)</f>
        <v>4603.81</v>
      </c>
      <c r="E14" s="16"/>
    </row>
    <row r="15" ht="15.75" customHeight="1">
      <c r="A15" s="9"/>
      <c r="B15" s="17">
        <f>IFERROR(__xludf.DUMMYFUNCTION("""COMPUTED_VALUE"""),306.0)</f>
        <v>306</v>
      </c>
      <c r="C15" s="18">
        <f>IFERROR(__xludf.DUMMYFUNCTION("""COMPUTED_VALUE"""),391.19)</f>
        <v>391.19</v>
      </c>
      <c r="D15" s="15">
        <f>IFERROR(__xludf.DUMMYFUNCTION("""COMPUTED_VALUE"""),-480.10999999999996)</f>
        <v>-480.11</v>
      </c>
      <c r="E15" s="16"/>
    </row>
    <row r="16" ht="15.75" customHeight="1">
      <c r="A16" s="9"/>
      <c r="B16" s="17">
        <f>IFERROR(__xludf.DUMMYFUNCTION("""COMPUTED_VALUE"""),336.0)</f>
        <v>336</v>
      </c>
      <c r="C16" s="18">
        <f>IFERROR(__xludf.DUMMYFUNCTION("""COMPUTED_VALUE"""),7414.120000000001)</f>
        <v>7414.12</v>
      </c>
      <c r="D16" s="15">
        <f>IFERROR(__xludf.DUMMYFUNCTION("""COMPUTED_VALUE"""),5729.580000000001)</f>
        <v>5729.58</v>
      </c>
      <c r="E16" s="16"/>
    </row>
    <row r="17" ht="15.75" customHeight="1">
      <c r="A17" s="9"/>
      <c r="B17" s="17">
        <f>IFERROR(__xludf.DUMMYFUNCTION("""COMPUTED_VALUE"""),367.0)</f>
        <v>367</v>
      </c>
      <c r="C17" s="18">
        <f>IFERROR(__xludf.DUMMYFUNCTION("""COMPUTED_VALUE"""),1645.6599999999999)</f>
        <v>1645.66</v>
      </c>
      <c r="D17" s="15">
        <f>IFERROR(__xludf.DUMMYFUNCTION("""COMPUTED_VALUE"""),-6589.889999999999)</f>
        <v>-6589.89</v>
      </c>
      <c r="E17" s="16"/>
    </row>
    <row r="18" ht="15.75" customHeight="1">
      <c r="A18" s="9"/>
      <c r="B18" s="17">
        <f>IFERROR(__xludf.DUMMYFUNCTION("""COMPUTED_VALUE"""),33.0)</f>
        <v>33</v>
      </c>
      <c r="C18" s="18">
        <f>IFERROR(__xludf.DUMMYFUNCTION("""COMPUTED_VALUE"""),6655.700000000001)</f>
        <v>6655.7</v>
      </c>
      <c r="D18" s="15">
        <f>IFERROR(__xludf.DUMMYFUNCTION("""COMPUTED_VALUE"""),289.1200000000008)</f>
        <v>289.12</v>
      </c>
      <c r="E18" s="16"/>
    </row>
    <row r="19" ht="15.75" customHeight="1">
      <c r="A19" s="9"/>
      <c r="B19" s="19"/>
      <c r="C19" s="14"/>
      <c r="D19" s="15"/>
      <c r="E19" s="16"/>
    </row>
    <row r="20" ht="15.75" customHeight="1">
      <c r="A20" s="9"/>
      <c r="B20" s="19"/>
      <c r="C20" s="14"/>
      <c r="D20" s="15"/>
      <c r="E20" s="16"/>
    </row>
    <row r="21" ht="15.75" customHeight="1">
      <c r="A21" s="9"/>
      <c r="B21" s="10"/>
      <c r="C21" s="11"/>
      <c r="D21" s="12"/>
      <c r="E21" s="9"/>
    </row>
    <row r="22" ht="11.25" customHeight="1">
      <c r="A22" s="9"/>
      <c r="B22" s="10"/>
      <c r="C22" s="11"/>
      <c r="D22" s="12"/>
      <c r="E22" s="9"/>
    </row>
    <row r="23" ht="27.0" customHeight="1">
      <c r="A23" s="20"/>
      <c r="B23" s="21" t="s">
        <v>4</v>
      </c>
      <c r="C23" s="22" t="s">
        <v>5</v>
      </c>
      <c r="D23" s="22" t="s">
        <v>6</v>
      </c>
      <c r="E23" s="23"/>
    </row>
    <row r="24" ht="15.75" customHeight="1">
      <c r="A24" s="24"/>
      <c r="B24" s="25">
        <f>'Profit &amp; Loss'!G3</f>
        <v>61</v>
      </c>
      <c r="C24" s="26">
        <f>'Profit &amp; Loss'!$G$15</f>
        <v>0.19</v>
      </c>
      <c r="D24" s="26">
        <f>'Profit &amp; Loss'!$G$48</f>
        <v>-1514.84</v>
      </c>
      <c r="E24" s="27"/>
    </row>
    <row r="25" ht="15.75" customHeight="1">
      <c r="A25" s="24"/>
      <c r="B25" s="28">
        <f>'Profit &amp; Loss'!H3</f>
        <v>92</v>
      </c>
      <c r="C25" s="26">
        <f>'Profit &amp; Loss'!$H$15</f>
        <v>3946.67</v>
      </c>
      <c r="D25" s="26">
        <f>'Profit &amp; Loss'!$H$48</f>
        <v>-2302.78</v>
      </c>
      <c r="E25" s="27"/>
    </row>
    <row r="26" ht="15.75" customHeight="1">
      <c r="A26" s="24"/>
      <c r="B26" s="25">
        <f>'Profit &amp; Loss'!I3</f>
        <v>122</v>
      </c>
      <c r="C26" s="26">
        <f>'Profit &amp; Loss'!$I$15</f>
        <v>4807.65</v>
      </c>
      <c r="D26" s="26">
        <f>'Profit &amp; Loss'!$I$48</f>
        <v>541.23</v>
      </c>
      <c r="E26" s="27"/>
    </row>
    <row r="27" ht="15.75" customHeight="1">
      <c r="A27" s="24"/>
      <c r="B27" s="28">
        <f>'Profit &amp; Loss'!J3</f>
        <v>153</v>
      </c>
      <c r="C27" s="26">
        <f>'Profit &amp; Loss'!$J$15</f>
        <v>6446.13</v>
      </c>
      <c r="D27" s="26">
        <f>'Profit &amp; Loss'!$J$48</f>
        <v>-964.24</v>
      </c>
      <c r="E27" s="27"/>
    </row>
    <row r="28" ht="15.75" customHeight="1">
      <c r="A28" s="24"/>
      <c r="B28" s="25">
        <f>'Profit &amp; Loss'!K3</f>
        <v>183</v>
      </c>
      <c r="C28" s="26">
        <f>'Profit &amp; Loss'!$K$15</f>
        <v>6315.14</v>
      </c>
      <c r="D28" s="26">
        <f>'Profit &amp; Loss'!$K$48</f>
        <v>280.42</v>
      </c>
      <c r="E28" s="27"/>
    </row>
    <row r="29" ht="15.75" customHeight="1">
      <c r="A29" s="24"/>
      <c r="B29" s="28">
        <f>'Profit &amp; Loss'!L3</f>
        <v>214</v>
      </c>
      <c r="C29" s="26">
        <f>'Profit &amp; Loss'!$L$15</f>
        <v>4976.15</v>
      </c>
      <c r="D29" s="26">
        <f>'Profit &amp; Loss'!$L$48</f>
        <v>3577.72</v>
      </c>
      <c r="E29" s="27"/>
    </row>
    <row r="30" ht="15.75" customHeight="1">
      <c r="A30" s="24"/>
      <c r="B30" s="25">
        <f>'Profit &amp; Loss'!M3</f>
        <v>245</v>
      </c>
      <c r="C30" s="26">
        <f>'Profit &amp; Loss'!$M$15</f>
        <v>5881.45</v>
      </c>
      <c r="D30" s="26">
        <f>'Profit &amp; Loss'!$M$48</f>
        <v>-3625.7</v>
      </c>
      <c r="E30" s="27"/>
    </row>
    <row r="31" ht="15.75" customHeight="1">
      <c r="A31" s="24"/>
      <c r="B31" s="28">
        <f>'Profit &amp; Loss'!N3</f>
        <v>275</v>
      </c>
      <c r="C31" s="26">
        <f>'Profit &amp; Loss'!$N$15</f>
        <v>5516.27</v>
      </c>
      <c r="D31" s="26">
        <f>'Profit &amp; Loss'!$N$48</f>
        <v>4603.81</v>
      </c>
      <c r="E31" s="27"/>
    </row>
    <row r="32" ht="15.75" customHeight="1">
      <c r="A32" s="24"/>
      <c r="B32" s="25">
        <f>'Profit &amp; Loss'!O3</f>
        <v>306</v>
      </c>
      <c r="C32" s="26">
        <f>'Profit &amp; Loss'!$O$15</f>
        <v>391.19</v>
      </c>
      <c r="D32" s="26">
        <f>'Profit &amp; Loss'!$O$48</f>
        <v>-480.11</v>
      </c>
      <c r="E32" s="27"/>
    </row>
    <row r="33" ht="15.75" customHeight="1">
      <c r="A33" s="24"/>
      <c r="B33" s="28">
        <f>'Profit &amp; Loss'!P3</f>
        <v>336</v>
      </c>
      <c r="C33" s="26">
        <f>'Profit &amp; Loss'!$P$15</f>
        <v>7414.12</v>
      </c>
      <c r="D33" s="26">
        <f>'Profit &amp; Loss'!$P$48</f>
        <v>5729.58</v>
      </c>
      <c r="E33" s="27"/>
    </row>
    <row r="34" ht="15.75" customHeight="1">
      <c r="A34" s="24"/>
      <c r="B34" s="25">
        <f>'Profit &amp; Loss'!Q3</f>
        <v>367</v>
      </c>
      <c r="C34" s="26">
        <f>'Profit &amp; Loss'!$Q$15</f>
        <v>1645.66</v>
      </c>
      <c r="D34" s="26">
        <f>'Profit &amp; Loss'!$Q$48</f>
        <v>-6589.89</v>
      </c>
      <c r="E34" s="27"/>
    </row>
    <row r="35" ht="15.75" customHeight="1">
      <c r="A35" s="24"/>
      <c r="B35" s="28">
        <f>'Profit &amp; Loss'!R3</f>
        <v>33</v>
      </c>
      <c r="C35" s="26">
        <f>'Profit &amp; Loss'!$R$15</f>
        <v>6655.7</v>
      </c>
      <c r="D35" s="26">
        <f>'Profit &amp; Loss'!$R$48</f>
        <v>289.12</v>
      </c>
      <c r="E35" s="27"/>
    </row>
    <row r="36" ht="11.25" customHeight="1">
      <c r="A36" s="24"/>
      <c r="B36" s="24"/>
      <c r="C36" s="24"/>
      <c r="D36" s="24"/>
      <c r="E36" s="27"/>
    </row>
    <row r="37" ht="11.25" customHeight="1">
      <c r="A37" s="29"/>
      <c r="B37" s="29"/>
      <c r="C37" s="29"/>
      <c r="D37" s="30"/>
      <c r="E37" s="24"/>
    </row>
    <row r="38" ht="11.25" customHeight="1">
      <c r="A38" s="31"/>
      <c r="B38" s="31"/>
      <c r="C38" s="32" t="s">
        <v>7</v>
      </c>
      <c r="D38" s="30"/>
      <c r="E38" s="24"/>
    </row>
    <row r="39" ht="27.0" customHeight="1">
      <c r="A39" s="33"/>
      <c r="B39" s="34" t="s">
        <v>8</v>
      </c>
      <c r="C39" s="35"/>
      <c r="D39" s="36"/>
      <c r="E39" s="37"/>
    </row>
    <row r="40" ht="18.0" customHeight="1">
      <c r="A40" s="29"/>
      <c r="B40" s="38">
        <f>IFERROR(__xludf.DUMMYFUNCTION("if (ISError(query(B$24:D$35,""select B,D where (C&lt;&gt;0) order by D desc limit 3"",-1)), """", query(B$24:D$35,""select B,D where (C&lt;&gt;0)  order by D desc limit 3"",-1))"),336.0)</f>
        <v>336</v>
      </c>
      <c r="C40" s="39">
        <f>IFERROR(__xludf.DUMMYFUNCTION("""COMPUTED_VALUE"""),5729.580000000001)</f>
        <v>5729.58</v>
      </c>
      <c r="D40" s="40"/>
      <c r="E40" s="24"/>
    </row>
    <row r="41" ht="18.0" customHeight="1">
      <c r="A41" s="29"/>
      <c r="B41" s="38">
        <f>IFERROR(__xludf.DUMMYFUNCTION("""COMPUTED_VALUE"""),275.0)</f>
        <v>275</v>
      </c>
      <c r="C41" s="39">
        <f>IFERROR(__xludf.DUMMYFUNCTION("""COMPUTED_VALUE"""),4603.81)</f>
        <v>4603.81</v>
      </c>
      <c r="D41" s="30"/>
      <c r="E41" s="24"/>
    </row>
    <row r="42" ht="18.0" customHeight="1">
      <c r="A42" s="29"/>
      <c r="B42" s="38">
        <f>IFERROR(__xludf.DUMMYFUNCTION("""COMPUTED_VALUE"""),214.0)</f>
        <v>214</v>
      </c>
      <c r="C42" s="39">
        <f>IFERROR(__xludf.DUMMYFUNCTION("""COMPUTED_VALUE"""),3577.72)</f>
        <v>3577.72</v>
      </c>
      <c r="D42" s="30"/>
      <c r="E42" s="30"/>
    </row>
    <row r="43" ht="11.25" customHeight="1">
      <c r="A43" s="29"/>
      <c r="B43" s="29"/>
      <c r="C43" s="32"/>
      <c r="D43" s="29"/>
      <c r="E43" s="29"/>
    </row>
    <row r="44" ht="27.0" customHeight="1">
      <c r="A44" s="33"/>
      <c r="B44" s="34" t="s">
        <v>9</v>
      </c>
      <c r="C44" s="35"/>
      <c r="D44" s="41"/>
      <c r="E44" s="41"/>
    </row>
    <row r="45" ht="18.0" customHeight="1">
      <c r="A45" s="29"/>
      <c r="B45" s="42">
        <f>IFERROR(__xludf.DUMMYFUNCTION("if (ISError(query(B$24:D$35,""select B,D where (C&lt;&gt;0 or D&lt;&gt;0) order by D asc limit 3"",-1)), """", query(B$24:D$35,""select B,D where (C&lt;&gt;0 or D&lt;&gt;0) order by D asc limit 3"",-1))"),367.0)</f>
        <v>367</v>
      </c>
      <c r="C45" s="39">
        <f>IFERROR(__xludf.DUMMYFUNCTION("""COMPUTED_VALUE"""),-6589.889999999999)</f>
        <v>-6589.89</v>
      </c>
      <c r="D45" s="29"/>
      <c r="E45" s="29"/>
    </row>
    <row r="46" ht="18.0" customHeight="1">
      <c r="A46" s="29"/>
      <c r="B46" s="42">
        <f>IFERROR(__xludf.DUMMYFUNCTION("""COMPUTED_VALUE"""),245.0)</f>
        <v>245</v>
      </c>
      <c r="C46" s="39">
        <f>IFERROR(__xludf.DUMMYFUNCTION("""COMPUTED_VALUE"""),-3625.7)</f>
        <v>-3625.7</v>
      </c>
      <c r="D46" s="29"/>
      <c r="E46" s="29"/>
    </row>
    <row r="47" ht="18.0" customHeight="1">
      <c r="A47" s="29"/>
      <c r="B47" s="42">
        <f>IFERROR(__xludf.DUMMYFUNCTION("""COMPUTED_VALUE"""),92.0)</f>
        <v>92</v>
      </c>
      <c r="C47" s="39">
        <f>IFERROR(__xludf.DUMMYFUNCTION("""COMPUTED_VALUE"""),-2302.7800000000007)</f>
        <v>-2302.78</v>
      </c>
      <c r="D47" s="29"/>
      <c r="E47" s="29"/>
    </row>
    <row r="48" ht="15.0" customHeight="1">
      <c r="A48" s="29"/>
      <c r="B48" s="43"/>
      <c r="C48" s="44"/>
      <c r="D48" s="43"/>
      <c r="E48" s="29"/>
    </row>
    <row r="49" ht="11.25" customHeight="1">
      <c r="A49" s="33"/>
      <c r="B49" s="45"/>
      <c r="C49" s="46"/>
      <c r="D49" s="46"/>
      <c r="E49" s="41"/>
    </row>
    <row r="50" ht="27.0" customHeight="1">
      <c r="A50" s="33"/>
      <c r="B50" s="34" t="s">
        <v>10</v>
      </c>
      <c r="C50" s="47"/>
      <c r="D50" s="41"/>
      <c r="E50" s="41"/>
    </row>
    <row r="51" ht="15.75" customHeight="1">
      <c r="A51" s="29"/>
      <c r="B51" s="48" t="str">
        <f>IFERROR(__xludf.DUMMYFUNCTION("query('Profit &amp; Loss'!F26:S45,""select F,S order by S asc limit 5"",-1)"),"Pitch Hire")</f>
        <v>Pitch Hire</v>
      </c>
      <c r="C51" s="49">
        <f>IFERROR(__xludf.DUMMYFUNCTION("""COMPUTED_VALUE"""),-12330.0)</f>
        <v>-12330</v>
      </c>
      <c r="D51" s="29"/>
      <c r="E51" s="29"/>
    </row>
    <row r="52" ht="15.75" customHeight="1">
      <c r="A52" s="29"/>
      <c r="B52" s="48" t="str">
        <f>IFERROR(__xludf.DUMMYFUNCTION("""COMPUTED_VALUE"""),"Kit")</f>
        <v>Kit</v>
      </c>
      <c r="C52" s="49">
        <f>IFERROR(__xludf.DUMMYFUNCTION("""COMPUTED_VALUE"""),-11522.25)</f>
        <v>-11522.25</v>
      </c>
      <c r="D52" s="29"/>
      <c r="E52" s="29"/>
    </row>
    <row r="53" ht="15.75" customHeight="1">
      <c r="A53" s="29"/>
      <c r="B53" s="48" t="str">
        <f>IFERROR(__xludf.DUMMYFUNCTION("""COMPUTED_VALUE"""),"Equipment")</f>
        <v>Equipment</v>
      </c>
      <c r="C53" s="49">
        <f>IFERROR(__xludf.DUMMYFUNCTION("""COMPUTED_VALUE"""),-8036.679999999999)</f>
        <v>-8036.68</v>
      </c>
      <c r="D53" s="29"/>
      <c r="E53" s="29"/>
    </row>
    <row r="54" ht="18.75" customHeight="1">
      <c r="A54" s="29"/>
      <c r="B54" s="48" t="str">
        <f>IFERROR(__xludf.DUMMYFUNCTION("""COMPUTED_VALUE"""),"Club Admin")</f>
        <v>Club Admin</v>
      </c>
      <c r="C54" s="49">
        <f>IFERROR(__xludf.DUMMYFUNCTION("""COMPUTED_VALUE"""),-5150.800000000001)</f>
        <v>-5150.8</v>
      </c>
      <c r="D54" s="29"/>
      <c r="E54" s="29"/>
    </row>
    <row r="55" ht="15.0" customHeight="1">
      <c r="A55" s="29"/>
      <c r="B55" s="48" t="str">
        <f>IFERROR(__xludf.DUMMYFUNCTION("""COMPUTED_VALUE"""),"Facility Improvement")</f>
        <v>Facility Improvement</v>
      </c>
      <c r="C55" s="49">
        <f>IFERROR(__xludf.DUMMYFUNCTION("""COMPUTED_VALUE"""),-5085.59)</f>
        <v>-5085.59</v>
      </c>
      <c r="D55" s="29"/>
      <c r="E55" s="29"/>
    </row>
    <row r="56" ht="27.0" customHeight="1">
      <c r="A56" s="29"/>
      <c r="B56" s="29"/>
      <c r="C56" s="50"/>
      <c r="D56" s="29"/>
      <c r="E56" s="29"/>
    </row>
    <row r="57" ht="27.0" customHeight="1">
      <c r="A57" s="29"/>
      <c r="B57" s="29"/>
      <c r="C57" s="50"/>
      <c r="D57" s="29"/>
      <c r="E57" s="29"/>
    </row>
    <row r="58" ht="27.0" customHeight="1">
      <c r="A58" s="29"/>
      <c r="B58" s="29"/>
      <c r="C58" s="50"/>
      <c r="D58" s="29"/>
      <c r="E58" s="29"/>
    </row>
    <row r="59" ht="27.0" customHeight="1">
      <c r="A59" s="29"/>
      <c r="B59" s="29"/>
      <c r="C59" s="50"/>
      <c r="D59" s="29"/>
      <c r="E59" s="29"/>
    </row>
    <row r="60" ht="27.0" customHeight="1">
      <c r="A60" s="29"/>
      <c r="B60" s="29"/>
      <c r="C60" s="50"/>
      <c r="D60" s="29"/>
      <c r="E60" s="29"/>
    </row>
    <row r="61" ht="27.0" customHeight="1">
      <c r="A61" s="29"/>
      <c r="B61" s="29"/>
      <c r="C61" s="50"/>
      <c r="D61" s="29"/>
      <c r="E61" s="29"/>
    </row>
    <row r="62" ht="27.0" customHeight="1">
      <c r="A62" s="29"/>
      <c r="B62" s="29"/>
      <c r="C62" s="50"/>
      <c r="D62" s="29"/>
      <c r="E62" s="29"/>
    </row>
    <row r="63" ht="27.0" customHeight="1">
      <c r="A63" s="29"/>
      <c r="B63" s="29"/>
      <c r="C63" s="50"/>
      <c r="D63" s="29"/>
      <c r="E63" s="29"/>
    </row>
    <row r="64" ht="27.0" customHeight="1">
      <c r="A64" s="29"/>
      <c r="B64" s="29"/>
      <c r="C64" s="50"/>
      <c r="D64" s="29"/>
      <c r="E64" s="29"/>
    </row>
    <row r="65" ht="27.0" customHeight="1">
      <c r="A65" s="29"/>
      <c r="B65" s="29"/>
      <c r="C65" s="50"/>
      <c r="D65" s="29"/>
      <c r="E65" s="29"/>
    </row>
    <row r="66" ht="27.0" customHeight="1">
      <c r="A66" s="29"/>
      <c r="B66" s="29"/>
      <c r="C66" s="50"/>
      <c r="D66" s="29"/>
      <c r="E66" s="29"/>
    </row>
    <row r="67" ht="27.0" customHeight="1">
      <c r="A67" s="29"/>
      <c r="B67" s="29"/>
      <c r="C67" s="50"/>
      <c r="D67" s="29"/>
      <c r="E67" s="29"/>
    </row>
    <row r="68" ht="27.0" customHeight="1">
      <c r="A68" s="29"/>
      <c r="B68" s="29"/>
      <c r="C68" s="50"/>
      <c r="D68" s="29"/>
      <c r="E68" s="29"/>
    </row>
    <row r="69" ht="27.0" customHeight="1">
      <c r="A69" s="29"/>
      <c r="B69" s="29"/>
      <c r="C69" s="50"/>
      <c r="D69" s="29"/>
      <c r="E69" s="29"/>
    </row>
    <row r="70" ht="27.0" customHeight="1">
      <c r="A70" s="29"/>
      <c r="B70" s="29"/>
      <c r="C70" s="50"/>
      <c r="D70" s="29"/>
      <c r="E70" s="29"/>
    </row>
    <row r="71" ht="27.0" customHeight="1">
      <c r="A71" s="29"/>
      <c r="B71" s="29"/>
      <c r="C71" s="50"/>
      <c r="D71" s="29"/>
      <c r="E71" s="29"/>
    </row>
    <row r="72" ht="27.0" customHeight="1">
      <c r="A72" s="29"/>
      <c r="B72" s="29"/>
      <c r="C72" s="50"/>
      <c r="D72" s="29"/>
      <c r="E72" s="29"/>
    </row>
    <row r="73" ht="27.0" customHeight="1">
      <c r="A73" s="29"/>
      <c r="B73" s="29"/>
      <c r="C73" s="50"/>
      <c r="D73" s="29"/>
      <c r="E73" s="29"/>
    </row>
    <row r="74" ht="27.0" customHeight="1">
      <c r="A74" s="29"/>
      <c r="B74" s="29"/>
      <c r="C74" s="50"/>
      <c r="D74" s="29"/>
      <c r="E74" s="29"/>
    </row>
    <row r="75" ht="27.0" customHeight="1">
      <c r="A75" s="29"/>
      <c r="B75" s="29"/>
      <c r="C75" s="50"/>
      <c r="D75" s="29"/>
      <c r="E75" s="29"/>
    </row>
    <row r="76" ht="27.0" customHeight="1">
      <c r="A76" s="29"/>
      <c r="B76" s="29"/>
      <c r="C76" s="50"/>
      <c r="D76" s="29"/>
      <c r="E76" s="29"/>
    </row>
    <row r="77" ht="27.0" customHeight="1">
      <c r="A77" s="29"/>
      <c r="B77" s="29"/>
      <c r="C77" s="50"/>
      <c r="D77" s="29"/>
      <c r="E77" s="29"/>
    </row>
    <row r="78" ht="27.0" customHeight="1">
      <c r="A78" s="29"/>
      <c r="B78" s="29"/>
      <c r="C78" s="50"/>
      <c r="D78" s="29"/>
      <c r="E78" s="29"/>
    </row>
    <row r="79" ht="27.0" customHeight="1">
      <c r="A79" s="29"/>
      <c r="B79" s="29"/>
      <c r="C79" s="50"/>
      <c r="D79" s="29"/>
      <c r="E79" s="29"/>
    </row>
    <row r="80" ht="27.0" customHeight="1">
      <c r="A80" s="29"/>
      <c r="B80" s="29"/>
      <c r="C80" s="50"/>
      <c r="D80" s="29"/>
      <c r="E80" s="29"/>
    </row>
    <row r="81" ht="27.0" customHeight="1">
      <c r="A81" s="29"/>
      <c r="B81" s="29"/>
      <c r="C81" s="50"/>
      <c r="D81" s="29"/>
      <c r="E81" s="29"/>
    </row>
    <row r="82" ht="27.0" customHeight="1">
      <c r="A82" s="29"/>
      <c r="B82" s="29"/>
      <c r="C82" s="50"/>
      <c r="D82" s="29"/>
      <c r="E82" s="29"/>
    </row>
    <row r="83" ht="27.0" customHeight="1">
      <c r="A83" s="29"/>
      <c r="B83" s="29"/>
      <c r="C83" s="50"/>
      <c r="D83" s="29"/>
      <c r="E83" s="29"/>
    </row>
    <row r="84" ht="27.0" customHeight="1">
      <c r="A84" s="29"/>
      <c r="B84" s="29"/>
      <c r="C84" s="50"/>
      <c r="D84" s="29"/>
      <c r="E84" s="29"/>
    </row>
    <row r="85" ht="27.0" customHeight="1">
      <c r="A85" s="29"/>
      <c r="B85" s="29"/>
      <c r="C85" s="50"/>
      <c r="D85" s="29"/>
      <c r="E85" s="29"/>
    </row>
    <row r="86" ht="27.0" customHeight="1">
      <c r="A86" s="29"/>
      <c r="B86" s="29"/>
      <c r="C86" s="50"/>
      <c r="D86" s="29"/>
      <c r="E86" s="29"/>
    </row>
    <row r="87" ht="27.0" customHeight="1">
      <c r="A87" s="29"/>
      <c r="B87" s="29"/>
      <c r="C87" s="50"/>
      <c r="D87" s="29"/>
      <c r="E87" s="29"/>
    </row>
    <row r="88" ht="27.0" customHeight="1">
      <c r="A88" s="29"/>
      <c r="B88" s="29"/>
      <c r="C88" s="50"/>
      <c r="D88" s="29"/>
      <c r="E88" s="29"/>
    </row>
    <row r="89" ht="27.0" customHeight="1">
      <c r="A89" s="29"/>
      <c r="B89" s="29"/>
      <c r="C89" s="50"/>
      <c r="D89" s="29"/>
      <c r="E89" s="29"/>
    </row>
    <row r="90" ht="27.0" customHeight="1">
      <c r="A90" s="29"/>
      <c r="B90" s="29"/>
      <c r="C90" s="50"/>
      <c r="D90" s="29"/>
      <c r="E90" s="29"/>
    </row>
    <row r="91" ht="27.0" customHeight="1">
      <c r="A91" s="29"/>
      <c r="B91" s="29"/>
      <c r="C91" s="50"/>
      <c r="D91" s="29"/>
      <c r="E91" s="29"/>
    </row>
    <row r="92" ht="27.0" customHeight="1">
      <c r="A92" s="29"/>
      <c r="B92" s="29"/>
      <c r="C92" s="50"/>
      <c r="D92" s="29"/>
      <c r="E92" s="29"/>
    </row>
    <row r="93" ht="27.0" customHeight="1">
      <c r="A93" s="29"/>
      <c r="B93" s="29"/>
      <c r="C93" s="50"/>
      <c r="D93" s="29"/>
      <c r="E93" s="29"/>
    </row>
    <row r="94" ht="27.0" customHeight="1">
      <c r="A94" s="29"/>
      <c r="B94" s="29"/>
      <c r="C94" s="50"/>
      <c r="D94" s="29"/>
      <c r="E94" s="29"/>
    </row>
    <row r="95" ht="27.0" customHeight="1">
      <c r="A95" s="29"/>
      <c r="B95" s="29"/>
      <c r="C95" s="50"/>
      <c r="D95" s="29"/>
      <c r="E95" s="29"/>
    </row>
    <row r="96" ht="27.0" customHeight="1">
      <c r="A96" s="29"/>
      <c r="B96" s="29"/>
      <c r="C96" s="50"/>
      <c r="D96" s="29"/>
      <c r="E96" s="29"/>
    </row>
    <row r="97" ht="27.0" customHeight="1">
      <c r="A97" s="29"/>
      <c r="B97" s="29"/>
      <c r="C97" s="50"/>
      <c r="D97" s="29"/>
      <c r="E97" s="29"/>
    </row>
    <row r="98" ht="27.0" customHeight="1">
      <c r="A98" s="29"/>
      <c r="B98" s="29"/>
      <c r="C98" s="50"/>
      <c r="D98" s="29"/>
      <c r="E98" s="29"/>
    </row>
    <row r="99" ht="27.0" customHeight="1">
      <c r="A99" s="29"/>
      <c r="B99" s="29"/>
      <c r="C99" s="50"/>
      <c r="D99" s="29"/>
      <c r="E99" s="29"/>
    </row>
    <row r="100" ht="27.0" customHeight="1">
      <c r="A100" s="29"/>
      <c r="B100" s="29"/>
      <c r="C100" s="50"/>
      <c r="D100" s="29"/>
      <c r="E100" s="29"/>
    </row>
    <row r="101" ht="27.0" customHeight="1">
      <c r="A101" s="29"/>
      <c r="B101" s="29"/>
      <c r="C101" s="50"/>
      <c r="D101" s="29"/>
      <c r="E101" s="29"/>
    </row>
    <row r="102" ht="27.0" customHeight="1">
      <c r="A102" s="29"/>
      <c r="B102" s="29"/>
      <c r="C102" s="50"/>
      <c r="D102" s="29"/>
      <c r="E102" s="29"/>
    </row>
    <row r="103" ht="27.0" customHeight="1">
      <c r="A103" s="29"/>
      <c r="B103" s="29"/>
      <c r="C103" s="50"/>
      <c r="D103" s="29"/>
      <c r="E103" s="29"/>
    </row>
    <row r="104" ht="27.0" customHeight="1">
      <c r="A104" s="29"/>
      <c r="B104" s="29"/>
      <c r="C104" s="50"/>
      <c r="D104" s="29"/>
      <c r="E104" s="29"/>
    </row>
    <row r="105" ht="27.0" customHeight="1">
      <c r="A105" s="29"/>
      <c r="B105" s="29"/>
      <c r="C105" s="50"/>
      <c r="D105" s="29"/>
      <c r="E105" s="29"/>
    </row>
    <row r="106" ht="27.0" customHeight="1">
      <c r="A106" s="29"/>
      <c r="B106" s="29"/>
      <c r="C106" s="50"/>
      <c r="D106" s="29"/>
      <c r="E106" s="29"/>
    </row>
    <row r="107" ht="27.0" customHeight="1">
      <c r="A107" s="29"/>
      <c r="B107" s="29"/>
      <c r="C107" s="50"/>
      <c r="D107" s="29"/>
      <c r="E107" s="29"/>
    </row>
    <row r="108" ht="27.0" customHeight="1">
      <c r="A108" s="29"/>
      <c r="B108" s="29"/>
      <c r="C108" s="50"/>
      <c r="D108" s="29"/>
      <c r="E108" s="29"/>
    </row>
    <row r="109" ht="27.0" customHeight="1">
      <c r="A109" s="29"/>
      <c r="B109" s="29"/>
      <c r="C109" s="50"/>
      <c r="D109" s="29"/>
      <c r="E109" s="29"/>
    </row>
    <row r="110" ht="27.0" customHeight="1">
      <c r="A110" s="29"/>
      <c r="B110" s="29"/>
      <c r="C110" s="50"/>
      <c r="D110" s="29"/>
      <c r="E110" s="29"/>
    </row>
    <row r="111" ht="27.0" customHeight="1">
      <c r="A111" s="29"/>
      <c r="B111" s="29"/>
      <c r="C111" s="50"/>
      <c r="D111" s="29"/>
      <c r="E111" s="29"/>
    </row>
    <row r="112" ht="27.0" customHeight="1">
      <c r="A112" s="29"/>
      <c r="B112" s="29"/>
      <c r="C112" s="50"/>
      <c r="D112" s="29"/>
      <c r="E112" s="29"/>
    </row>
    <row r="113" ht="27.0" customHeight="1">
      <c r="A113" s="29"/>
      <c r="B113" s="29"/>
      <c r="C113" s="50"/>
      <c r="D113" s="29"/>
      <c r="E113" s="29"/>
    </row>
    <row r="114" ht="27.0" customHeight="1">
      <c r="A114" s="29"/>
      <c r="B114" s="29"/>
      <c r="C114" s="50"/>
      <c r="D114" s="29"/>
      <c r="E114" s="29"/>
    </row>
    <row r="115" ht="27.0" customHeight="1">
      <c r="A115" s="29"/>
      <c r="B115" s="29"/>
      <c r="C115" s="50"/>
      <c r="D115" s="29"/>
      <c r="E115" s="29"/>
    </row>
    <row r="116" ht="27.0" customHeight="1">
      <c r="A116" s="29"/>
      <c r="B116" s="29"/>
      <c r="C116" s="50"/>
      <c r="D116" s="29"/>
      <c r="E116" s="29"/>
    </row>
    <row r="117" ht="27.0" customHeight="1">
      <c r="A117" s="29"/>
      <c r="B117" s="29"/>
      <c r="C117" s="50"/>
      <c r="D117" s="29"/>
      <c r="E117" s="29"/>
    </row>
    <row r="118" ht="27.0" customHeight="1">
      <c r="A118" s="29"/>
      <c r="B118" s="29"/>
      <c r="C118" s="50"/>
      <c r="D118" s="29"/>
      <c r="E118" s="29"/>
    </row>
    <row r="119" ht="27.0" customHeight="1">
      <c r="A119" s="29"/>
      <c r="B119" s="29"/>
      <c r="C119" s="50"/>
      <c r="D119" s="29"/>
      <c r="E119" s="29"/>
    </row>
    <row r="120" ht="27.0" customHeight="1">
      <c r="A120" s="29"/>
      <c r="B120" s="29"/>
      <c r="C120" s="50"/>
      <c r="D120" s="29"/>
      <c r="E120" s="29"/>
    </row>
    <row r="121" ht="27.0" customHeight="1">
      <c r="A121" s="29"/>
      <c r="B121" s="29"/>
      <c r="C121" s="50"/>
      <c r="D121" s="29"/>
      <c r="E121" s="29"/>
    </row>
    <row r="122" ht="27.0" customHeight="1">
      <c r="A122" s="29"/>
      <c r="B122" s="29"/>
      <c r="C122" s="50"/>
      <c r="D122" s="29"/>
      <c r="E122" s="29"/>
    </row>
    <row r="123" ht="27.0" customHeight="1">
      <c r="A123" s="29"/>
      <c r="B123" s="29"/>
      <c r="C123" s="50"/>
      <c r="D123" s="29"/>
      <c r="E123" s="29"/>
    </row>
    <row r="124" ht="27.0" customHeight="1">
      <c r="A124" s="29"/>
      <c r="B124" s="29"/>
      <c r="C124" s="50"/>
      <c r="D124" s="29"/>
      <c r="E124" s="29"/>
    </row>
    <row r="125" ht="27.0" customHeight="1">
      <c r="A125" s="29"/>
      <c r="B125" s="29"/>
      <c r="C125" s="50"/>
      <c r="D125" s="29"/>
      <c r="E125" s="29"/>
    </row>
    <row r="126" ht="27.0" customHeight="1">
      <c r="A126" s="29"/>
      <c r="B126" s="29"/>
      <c r="C126" s="50"/>
      <c r="D126" s="29"/>
      <c r="E126" s="29"/>
    </row>
    <row r="127" ht="27.0" customHeight="1">
      <c r="A127" s="29"/>
      <c r="B127" s="29"/>
      <c r="C127" s="50"/>
      <c r="D127" s="29"/>
      <c r="E127" s="29"/>
    </row>
    <row r="128" ht="27.0" customHeight="1">
      <c r="A128" s="29"/>
      <c r="B128" s="29"/>
      <c r="C128" s="50"/>
      <c r="D128" s="29"/>
      <c r="E128" s="29"/>
    </row>
    <row r="129" ht="27.0" customHeight="1">
      <c r="A129" s="29"/>
      <c r="B129" s="29"/>
      <c r="C129" s="50"/>
      <c r="D129" s="29"/>
      <c r="E129" s="29"/>
    </row>
    <row r="130" ht="27.0" customHeight="1">
      <c r="A130" s="29"/>
      <c r="B130" s="29"/>
      <c r="C130" s="50"/>
      <c r="D130" s="29"/>
      <c r="E130" s="29"/>
    </row>
    <row r="131" ht="27.0" customHeight="1">
      <c r="A131" s="29"/>
      <c r="B131" s="29"/>
      <c r="C131" s="50"/>
      <c r="D131" s="29"/>
      <c r="E131" s="29"/>
    </row>
    <row r="132" ht="27.0" customHeight="1">
      <c r="A132" s="29"/>
      <c r="B132" s="29"/>
      <c r="C132" s="50"/>
      <c r="D132" s="29"/>
      <c r="E132" s="29"/>
    </row>
    <row r="133" ht="27.0" customHeight="1">
      <c r="A133" s="29"/>
      <c r="B133" s="29"/>
      <c r="C133" s="50"/>
      <c r="D133" s="29"/>
      <c r="E133" s="29"/>
    </row>
    <row r="134" ht="27.0" customHeight="1">
      <c r="A134" s="29"/>
      <c r="B134" s="29"/>
      <c r="C134" s="50"/>
      <c r="D134" s="29"/>
      <c r="E134" s="29"/>
    </row>
    <row r="135" ht="27.0" customHeight="1">
      <c r="A135" s="29"/>
      <c r="B135" s="29"/>
      <c r="C135" s="50"/>
      <c r="D135" s="29"/>
      <c r="E135" s="29"/>
    </row>
    <row r="136" ht="27.0" customHeight="1">
      <c r="A136" s="29"/>
      <c r="B136" s="29"/>
      <c r="C136" s="50"/>
      <c r="D136" s="29"/>
      <c r="E136" s="29"/>
    </row>
    <row r="137" ht="27.0" customHeight="1">
      <c r="A137" s="29"/>
      <c r="B137" s="29"/>
      <c r="C137" s="50"/>
      <c r="D137" s="29"/>
      <c r="E137" s="29"/>
    </row>
    <row r="138" ht="27.0" customHeight="1">
      <c r="A138" s="29"/>
      <c r="B138" s="29"/>
      <c r="C138" s="50"/>
      <c r="D138" s="29"/>
      <c r="E138" s="29"/>
    </row>
    <row r="139" ht="27.0" customHeight="1">
      <c r="A139" s="29"/>
      <c r="B139" s="29"/>
      <c r="C139" s="50"/>
      <c r="D139" s="29"/>
      <c r="E139" s="29"/>
    </row>
    <row r="140" ht="27.0" customHeight="1">
      <c r="A140" s="29"/>
      <c r="B140" s="29"/>
      <c r="C140" s="50"/>
      <c r="D140" s="29"/>
      <c r="E140" s="29"/>
    </row>
    <row r="141" ht="27.0" customHeight="1">
      <c r="A141" s="29"/>
      <c r="B141" s="29"/>
      <c r="C141" s="50"/>
      <c r="D141" s="29"/>
      <c r="E141" s="29"/>
    </row>
    <row r="142" ht="27.0" customHeight="1">
      <c r="A142" s="29"/>
      <c r="B142" s="29"/>
      <c r="C142" s="50"/>
      <c r="D142" s="29"/>
      <c r="E142" s="29"/>
    </row>
    <row r="143" ht="27.0" customHeight="1">
      <c r="A143" s="29"/>
      <c r="B143" s="29"/>
      <c r="C143" s="50"/>
      <c r="D143" s="29"/>
      <c r="E143" s="29"/>
    </row>
    <row r="144" ht="27.0" customHeight="1">
      <c r="A144" s="29"/>
      <c r="B144" s="29"/>
      <c r="C144" s="50"/>
      <c r="D144" s="29"/>
      <c r="E144" s="29"/>
    </row>
    <row r="145" ht="27.0" customHeight="1">
      <c r="A145" s="29"/>
      <c r="B145" s="29"/>
      <c r="C145" s="50"/>
      <c r="D145" s="29"/>
      <c r="E145" s="29"/>
    </row>
    <row r="146" ht="27.0" customHeight="1">
      <c r="A146" s="29"/>
      <c r="B146" s="29"/>
      <c r="C146" s="50"/>
      <c r="D146" s="29"/>
      <c r="E146" s="29"/>
    </row>
    <row r="147" ht="27.0" customHeight="1">
      <c r="A147" s="29"/>
      <c r="B147" s="29"/>
      <c r="C147" s="50"/>
      <c r="D147" s="29"/>
      <c r="E147" s="29"/>
    </row>
    <row r="148" ht="27.0" customHeight="1">
      <c r="A148" s="29"/>
      <c r="B148" s="29"/>
      <c r="C148" s="50"/>
      <c r="D148" s="29"/>
      <c r="E148" s="29"/>
    </row>
    <row r="149" ht="27.0" customHeight="1">
      <c r="A149" s="29"/>
      <c r="B149" s="29"/>
      <c r="C149" s="50"/>
      <c r="D149" s="29"/>
      <c r="E149" s="29"/>
    </row>
    <row r="150" ht="27.0" customHeight="1">
      <c r="A150" s="29"/>
      <c r="B150" s="29"/>
      <c r="C150" s="50"/>
      <c r="D150" s="29"/>
      <c r="E150" s="29"/>
    </row>
    <row r="151" ht="27.0" customHeight="1">
      <c r="A151" s="29"/>
      <c r="B151" s="29"/>
      <c r="C151" s="50"/>
      <c r="D151" s="29"/>
      <c r="E151" s="29"/>
    </row>
    <row r="152" ht="27.0" customHeight="1">
      <c r="A152" s="29"/>
      <c r="B152" s="29"/>
      <c r="C152" s="50"/>
      <c r="D152" s="29"/>
      <c r="E152" s="29"/>
    </row>
    <row r="153" ht="27.0" customHeight="1">
      <c r="A153" s="29"/>
      <c r="B153" s="29"/>
      <c r="C153" s="50"/>
      <c r="D153" s="29"/>
      <c r="E153" s="29"/>
    </row>
    <row r="154" ht="27.0" customHeight="1">
      <c r="A154" s="29"/>
      <c r="B154" s="29"/>
      <c r="C154" s="50"/>
      <c r="D154" s="29"/>
      <c r="E154" s="29"/>
    </row>
    <row r="155" ht="27.0" customHeight="1">
      <c r="A155" s="29"/>
      <c r="B155" s="29"/>
      <c r="C155" s="50"/>
      <c r="D155" s="29"/>
      <c r="E155" s="29"/>
    </row>
    <row r="156" ht="27.0" customHeight="1">
      <c r="A156" s="29"/>
      <c r="B156" s="29"/>
      <c r="C156" s="50"/>
      <c r="D156" s="29"/>
      <c r="E156" s="29"/>
    </row>
    <row r="157" ht="27.0" customHeight="1">
      <c r="A157" s="29"/>
      <c r="B157" s="29"/>
      <c r="C157" s="50"/>
      <c r="D157" s="29"/>
      <c r="E157" s="29"/>
    </row>
    <row r="158" ht="27.0" customHeight="1">
      <c r="A158" s="29"/>
      <c r="B158" s="29"/>
      <c r="C158" s="50"/>
      <c r="D158" s="29"/>
      <c r="E158" s="29"/>
    </row>
    <row r="159" ht="27.0" customHeight="1">
      <c r="A159" s="29"/>
      <c r="B159" s="29"/>
      <c r="C159" s="50"/>
      <c r="D159" s="29"/>
      <c r="E159" s="29"/>
    </row>
    <row r="160" ht="27.0" customHeight="1">
      <c r="A160" s="29"/>
      <c r="B160" s="29"/>
      <c r="C160" s="50"/>
      <c r="D160" s="29"/>
      <c r="E160" s="29"/>
    </row>
    <row r="161" ht="27.0" customHeight="1">
      <c r="A161" s="29"/>
      <c r="B161" s="29"/>
      <c r="C161" s="50"/>
      <c r="D161" s="29"/>
      <c r="E161" s="29"/>
    </row>
    <row r="162" ht="27.0" customHeight="1">
      <c r="A162" s="29"/>
      <c r="B162" s="29"/>
      <c r="C162" s="50"/>
      <c r="D162" s="29"/>
      <c r="E162" s="29"/>
    </row>
    <row r="163" ht="27.0" customHeight="1">
      <c r="A163" s="29"/>
      <c r="B163" s="29"/>
      <c r="C163" s="50"/>
      <c r="D163" s="29"/>
      <c r="E163" s="29"/>
    </row>
    <row r="164" ht="27.0" customHeight="1">
      <c r="A164" s="29"/>
      <c r="B164" s="29"/>
      <c r="C164" s="50"/>
      <c r="D164" s="29"/>
      <c r="E164" s="29"/>
    </row>
    <row r="165" ht="27.0" customHeight="1">
      <c r="A165" s="29"/>
      <c r="B165" s="29"/>
      <c r="C165" s="50"/>
      <c r="D165" s="29"/>
      <c r="E165" s="29"/>
    </row>
    <row r="166" ht="27.0" customHeight="1">
      <c r="A166" s="29"/>
      <c r="B166" s="29"/>
      <c r="C166" s="50"/>
      <c r="D166" s="29"/>
      <c r="E166" s="29"/>
    </row>
    <row r="167" ht="27.0" customHeight="1">
      <c r="A167" s="29"/>
      <c r="B167" s="29"/>
      <c r="C167" s="50"/>
      <c r="D167" s="29"/>
      <c r="E167" s="29"/>
    </row>
    <row r="168" ht="27.0" customHeight="1">
      <c r="A168" s="29"/>
      <c r="B168" s="29"/>
      <c r="C168" s="50"/>
      <c r="D168" s="29"/>
      <c r="E168" s="29"/>
    </row>
    <row r="169" ht="27.0" customHeight="1">
      <c r="A169" s="29"/>
      <c r="B169" s="29"/>
      <c r="C169" s="50"/>
      <c r="D169" s="29"/>
      <c r="E169" s="29"/>
    </row>
    <row r="170" ht="27.0" customHeight="1">
      <c r="A170" s="29"/>
      <c r="B170" s="29"/>
      <c r="C170" s="50"/>
      <c r="D170" s="29"/>
      <c r="E170" s="29"/>
    </row>
    <row r="171" ht="27.0" customHeight="1">
      <c r="A171" s="29"/>
      <c r="B171" s="29"/>
      <c r="C171" s="50"/>
      <c r="D171" s="29"/>
      <c r="E171" s="29"/>
    </row>
    <row r="172" ht="27.0" customHeight="1">
      <c r="A172" s="29"/>
      <c r="B172" s="29"/>
      <c r="C172" s="50"/>
      <c r="D172" s="29"/>
      <c r="E172" s="29"/>
    </row>
    <row r="173" ht="27.0" customHeight="1">
      <c r="A173" s="29"/>
      <c r="B173" s="29"/>
      <c r="C173" s="50"/>
      <c r="D173" s="29"/>
      <c r="E173" s="29"/>
    </row>
    <row r="174" ht="27.0" customHeight="1">
      <c r="A174" s="29"/>
      <c r="B174" s="29"/>
      <c r="C174" s="50"/>
      <c r="D174" s="29"/>
      <c r="E174" s="29"/>
    </row>
    <row r="175" ht="27.0" customHeight="1">
      <c r="A175" s="29"/>
      <c r="B175" s="29"/>
      <c r="C175" s="50"/>
      <c r="D175" s="29"/>
      <c r="E175" s="29"/>
    </row>
    <row r="176" ht="27.0" customHeight="1">
      <c r="A176" s="29"/>
      <c r="B176" s="29"/>
      <c r="C176" s="50"/>
      <c r="D176" s="29"/>
      <c r="E176" s="29"/>
    </row>
    <row r="177" ht="27.0" customHeight="1">
      <c r="A177" s="29"/>
      <c r="B177" s="29"/>
      <c r="C177" s="50"/>
      <c r="D177" s="29"/>
      <c r="E177" s="29"/>
    </row>
    <row r="178" ht="27.0" customHeight="1">
      <c r="A178" s="29"/>
      <c r="B178" s="29"/>
      <c r="C178" s="50"/>
      <c r="D178" s="29"/>
      <c r="E178" s="29"/>
    </row>
    <row r="179" ht="27.0" customHeight="1">
      <c r="A179" s="29"/>
      <c r="B179" s="29"/>
      <c r="C179" s="50"/>
      <c r="D179" s="29"/>
      <c r="E179" s="29"/>
    </row>
    <row r="180" ht="27.0" customHeight="1">
      <c r="A180" s="29"/>
      <c r="B180" s="29"/>
      <c r="C180" s="50"/>
      <c r="D180" s="29"/>
      <c r="E180" s="29"/>
    </row>
    <row r="181" ht="27.0" customHeight="1">
      <c r="A181" s="29"/>
      <c r="B181" s="29"/>
      <c r="C181" s="50"/>
      <c r="D181" s="29"/>
      <c r="E181" s="29"/>
    </row>
    <row r="182" ht="27.0" customHeight="1">
      <c r="A182" s="29"/>
      <c r="B182" s="29"/>
      <c r="C182" s="50"/>
      <c r="D182" s="29"/>
      <c r="E182" s="29"/>
    </row>
    <row r="183" ht="27.0" customHeight="1">
      <c r="A183" s="29"/>
      <c r="B183" s="29"/>
      <c r="C183" s="50"/>
      <c r="D183" s="29"/>
      <c r="E183" s="29"/>
    </row>
    <row r="184" ht="27.0" customHeight="1">
      <c r="A184" s="29"/>
      <c r="B184" s="29"/>
      <c r="C184" s="50"/>
      <c r="D184" s="29"/>
      <c r="E184" s="29"/>
    </row>
    <row r="185" ht="27.0" customHeight="1">
      <c r="A185" s="29"/>
      <c r="B185" s="29"/>
      <c r="C185" s="50"/>
      <c r="D185" s="29"/>
      <c r="E185" s="29"/>
    </row>
    <row r="186" ht="27.0" customHeight="1">
      <c r="A186" s="29"/>
      <c r="B186" s="29"/>
      <c r="C186" s="50"/>
      <c r="D186" s="29"/>
      <c r="E186" s="29"/>
    </row>
    <row r="187" ht="27.0" customHeight="1">
      <c r="A187" s="29"/>
      <c r="B187" s="29"/>
      <c r="C187" s="50"/>
      <c r="D187" s="29"/>
      <c r="E187" s="29"/>
    </row>
    <row r="188" ht="27.0" customHeight="1">
      <c r="A188" s="29"/>
      <c r="B188" s="29"/>
      <c r="C188" s="50"/>
      <c r="D188" s="29"/>
      <c r="E188" s="29"/>
    </row>
    <row r="189" ht="27.0" customHeight="1">
      <c r="A189" s="29"/>
      <c r="B189" s="29"/>
      <c r="C189" s="50"/>
      <c r="D189" s="29"/>
      <c r="E189" s="29"/>
    </row>
    <row r="190" ht="27.0" customHeight="1">
      <c r="A190" s="29"/>
      <c r="B190" s="29"/>
      <c r="C190" s="50"/>
      <c r="D190" s="29"/>
      <c r="E190" s="29"/>
    </row>
    <row r="191" ht="27.0" customHeight="1">
      <c r="A191" s="29"/>
      <c r="B191" s="29"/>
      <c r="C191" s="50"/>
      <c r="D191" s="29"/>
      <c r="E191" s="29"/>
    </row>
    <row r="192" ht="27.0" customHeight="1">
      <c r="A192" s="29"/>
      <c r="B192" s="29"/>
      <c r="C192" s="50"/>
      <c r="D192" s="29"/>
      <c r="E192" s="29"/>
    </row>
    <row r="193" ht="27.0" customHeight="1">
      <c r="A193" s="29"/>
      <c r="B193" s="29"/>
      <c r="C193" s="50"/>
      <c r="D193" s="29"/>
      <c r="E193" s="29"/>
    </row>
    <row r="194" ht="27.0" customHeight="1">
      <c r="A194" s="29"/>
      <c r="B194" s="29"/>
      <c r="C194" s="50"/>
      <c r="D194" s="29"/>
      <c r="E194" s="29"/>
    </row>
    <row r="195" ht="27.0" customHeight="1">
      <c r="A195" s="29"/>
      <c r="B195" s="29"/>
      <c r="C195" s="50"/>
      <c r="D195" s="29"/>
      <c r="E195" s="29"/>
    </row>
    <row r="196" ht="27.0" customHeight="1">
      <c r="A196" s="29"/>
      <c r="B196" s="29"/>
      <c r="C196" s="50"/>
      <c r="D196" s="29"/>
      <c r="E196" s="29"/>
    </row>
    <row r="197" ht="27.0" customHeight="1">
      <c r="A197" s="29"/>
      <c r="B197" s="29"/>
      <c r="C197" s="50"/>
      <c r="D197" s="29"/>
      <c r="E197" s="29"/>
    </row>
    <row r="198" ht="27.0" customHeight="1">
      <c r="A198" s="29"/>
      <c r="B198" s="29"/>
      <c r="C198" s="50"/>
      <c r="D198" s="29"/>
      <c r="E198" s="29"/>
    </row>
    <row r="199" ht="27.0" customHeight="1">
      <c r="A199" s="29"/>
      <c r="B199" s="29"/>
      <c r="C199" s="50"/>
      <c r="D199" s="29"/>
      <c r="E199" s="29"/>
    </row>
    <row r="200" ht="27.0" customHeight="1">
      <c r="A200" s="29"/>
      <c r="B200" s="29"/>
      <c r="C200" s="50"/>
      <c r="D200" s="29"/>
      <c r="E200" s="29"/>
    </row>
    <row r="201" ht="27.0" customHeight="1">
      <c r="A201" s="29"/>
      <c r="B201" s="29"/>
      <c r="C201" s="50"/>
      <c r="D201" s="29"/>
      <c r="E201" s="29"/>
    </row>
    <row r="202" ht="27.0" customHeight="1">
      <c r="A202" s="29"/>
      <c r="B202" s="29"/>
      <c r="C202" s="50"/>
      <c r="D202" s="29"/>
      <c r="E202" s="29"/>
    </row>
    <row r="203" ht="27.0" customHeight="1">
      <c r="A203" s="29"/>
      <c r="B203" s="29"/>
      <c r="C203" s="50"/>
      <c r="D203" s="29"/>
      <c r="E203" s="29"/>
    </row>
    <row r="204" ht="27.0" customHeight="1">
      <c r="A204" s="29"/>
      <c r="B204" s="29"/>
      <c r="C204" s="50"/>
      <c r="D204" s="29"/>
      <c r="E204" s="29"/>
    </row>
    <row r="205" ht="27.0" customHeight="1">
      <c r="A205" s="29"/>
      <c r="B205" s="29"/>
      <c r="C205" s="50"/>
      <c r="D205" s="29"/>
      <c r="E205" s="29"/>
    </row>
    <row r="206" ht="27.0" customHeight="1">
      <c r="A206" s="29"/>
      <c r="B206" s="29"/>
      <c r="C206" s="50"/>
      <c r="D206" s="29"/>
      <c r="E206" s="29"/>
    </row>
    <row r="207" ht="27.0" customHeight="1">
      <c r="A207" s="29"/>
      <c r="B207" s="29"/>
      <c r="C207" s="50"/>
      <c r="D207" s="29"/>
      <c r="E207" s="29"/>
    </row>
    <row r="208" ht="27.0" customHeight="1">
      <c r="A208" s="29"/>
      <c r="B208" s="29"/>
      <c r="C208" s="50"/>
      <c r="D208" s="29"/>
      <c r="E208" s="29"/>
    </row>
    <row r="209" ht="27.0" customHeight="1">
      <c r="A209" s="29"/>
      <c r="B209" s="29"/>
      <c r="C209" s="50"/>
      <c r="D209" s="29"/>
      <c r="E209" s="29"/>
    </row>
    <row r="210" ht="27.0" customHeight="1">
      <c r="A210" s="29"/>
      <c r="B210" s="29"/>
      <c r="C210" s="50"/>
      <c r="D210" s="29"/>
      <c r="E210" s="29"/>
    </row>
    <row r="211" ht="27.0" customHeight="1">
      <c r="A211" s="29"/>
      <c r="B211" s="29"/>
      <c r="C211" s="50"/>
      <c r="D211" s="29"/>
      <c r="E211" s="29"/>
    </row>
    <row r="212" ht="27.0" customHeight="1">
      <c r="A212" s="29"/>
      <c r="B212" s="29"/>
      <c r="C212" s="50"/>
      <c r="D212" s="29"/>
      <c r="E212" s="29"/>
    </row>
    <row r="213" ht="27.0" customHeight="1">
      <c r="A213" s="29"/>
      <c r="B213" s="29"/>
      <c r="C213" s="50"/>
      <c r="D213" s="29"/>
      <c r="E213" s="29"/>
    </row>
    <row r="214" ht="27.0" customHeight="1">
      <c r="A214" s="29"/>
      <c r="B214" s="29"/>
      <c r="C214" s="50"/>
      <c r="D214" s="29"/>
      <c r="E214" s="29"/>
    </row>
    <row r="215" ht="27.0" customHeight="1">
      <c r="A215" s="29"/>
      <c r="B215" s="29"/>
      <c r="C215" s="50"/>
      <c r="D215" s="29"/>
      <c r="E215" s="29"/>
    </row>
    <row r="216" ht="27.0" customHeight="1">
      <c r="A216" s="29"/>
      <c r="B216" s="29"/>
      <c r="C216" s="50"/>
      <c r="D216" s="29"/>
      <c r="E216" s="29"/>
    </row>
    <row r="217" ht="27.0" customHeight="1">
      <c r="A217" s="29"/>
      <c r="B217" s="29"/>
      <c r="C217" s="50"/>
      <c r="D217" s="29"/>
      <c r="E217" s="29"/>
    </row>
    <row r="218" ht="27.0" customHeight="1">
      <c r="A218" s="29"/>
      <c r="B218" s="29"/>
      <c r="C218" s="50"/>
      <c r="D218" s="29"/>
      <c r="E218" s="29"/>
    </row>
    <row r="219" ht="27.0" customHeight="1">
      <c r="A219" s="29"/>
      <c r="B219" s="29"/>
      <c r="C219" s="50"/>
      <c r="D219" s="29"/>
      <c r="E219" s="29"/>
    </row>
    <row r="220" ht="27.0" customHeight="1">
      <c r="A220" s="29"/>
      <c r="B220" s="29"/>
      <c r="C220" s="50"/>
      <c r="D220" s="29"/>
      <c r="E220" s="29"/>
    </row>
    <row r="221" ht="27.0" customHeight="1">
      <c r="A221" s="29"/>
      <c r="B221" s="29"/>
      <c r="C221" s="50"/>
      <c r="D221" s="29"/>
      <c r="E221" s="29"/>
    </row>
    <row r="222" ht="27.0" customHeight="1">
      <c r="A222" s="29"/>
      <c r="B222" s="29"/>
      <c r="C222" s="50"/>
      <c r="D222" s="29"/>
      <c r="E222" s="29"/>
    </row>
    <row r="223" ht="27.0" customHeight="1">
      <c r="A223" s="29"/>
      <c r="B223" s="29"/>
      <c r="C223" s="50"/>
      <c r="D223" s="29"/>
      <c r="E223" s="29"/>
    </row>
    <row r="224" ht="27.0" customHeight="1">
      <c r="A224" s="29"/>
      <c r="B224" s="29"/>
      <c r="C224" s="50"/>
      <c r="D224" s="29"/>
      <c r="E224" s="29"/>
    </row>
    <row r="225" ht="27.0" customHeight="1">
      <c r="A225" s="29"/>
      <c r="B225" s="29"/>
      <c r="C225" s="50"/>
      <c r="D225" s="29"/>
      <c r="E225" s="29"/>
    </row>
    <row r="226" ht="27.0" customHeight="1">
      <c r="A226" s="29"/>
      <c r="B226" s="29"/>
      <c r="C226" s="50"/>
      <c r="D226" s="29"/>
      <c r="E226" s="29"/>
    </row>
    <row r="227" ht="27.0" customHeight="1">
      <c r="A227" s="29"/>
      <c r="B227" s="29"/>
      <c r="C227" s="50"/>
      <c r="D227" s="29"/>
      <c r="E227" s="29"/>
    </row>
    <row r="228" ht="27.0" customHeight="1">
      <c r="A228" s="29"/>
      <c r="B228" s="29"/>
      <c r="C228" s="50"/>
      <c r="D228" s="29"/>
      <c r="E228" s="29"/>
    </row>
    <row r="229" ht="27.0" customHeight="1">
      <c r="A229" s="29"/>
      <c r="B229" s="29"/>
      <c r="C229" s="50"/>
      <c r="D229" s="29"/>
      <c r="E229" s="29"/>
    </row>
    <row r="230" ht="27.0" customHeight="1">
      <c r="A230" s="29"/>
      <c r="B230" s="29"/>
      <c r="C230" s="50"/>
      <c r="D230" s="29"/>
      <c r="E230" s="29"/>
    </row>
    <row r="231" ht="27.0" customHeight="1">
      <c r="A231" s="29"/>
      <c r="B231" s="29"/>
      <c r="C231" s="50"/>
      <c r="D231" s="29"/>
      <c r="E231" s="29"/>
    </row>
    <row r="232" ht="27.0" customHeight="1">
      <c r="A232" s="29"/>
      <c r="B232" s="29"/>
      <c r="C232" s="50"/>
      <c r="D232" s="29"/>
      <c r="E232" s="29"/>
    </row>
    <row r="233" ht="27.0" customHeight="1">
      <c r="A233" s="29"/>
      <c r="B233" s="29"/>
      <c r="C233" s="50"/>
      <c r="D233" s="29"/>
      <c r="E233" s="29"/>
    </row>
    <row r="234" ht="27.0" customHeight="1">
      <c r="A234" s="29"/>
      <c r="B234" s="29"/>
      <c r="C234" s="50"/>
      <c r="D234" s="29"/>
      <c r="E234" s="29"/>
    </row>
    <row r="235" ht="27.0" customHeight="1">
      <c r="A235" s="29"/>
      <c r="B235" s="29"/>
      <c r="C235" s="50"/>
      <c r="D235" s="29"/>
      <c r="E235" s="29"/>
    </row>
    <row r="236" ht="27.0" customHeight="1">
      <c r="A236" s="29"/>
      <c r="B236" s="29"/>
      <c r="C236" s="50"/>
      <c r="D236" s="29"/>
      <c r="E236" s="29"/>
    </row>
    <row r="237" ht="27.0" customHeight="1">
      <c r="A237" s="29"/>
      <c r="B237" s="29"/>
      <c r="C237" s="50"/>
      <c r="D237" s="29"/>
      <c r="E237" s="29"/>
    </row>
    <row r="238" ht="27.0" customHeight="1">
      <c r="A238" s="29"/>
      <c r="B238" s="29"/>
      <c r="C238" s="50"/>
      <c r="D238" s="29"/>
      <c r="E238" s="29"/>
    </row>
    <row r="239" ht="27.0" customHeight="1">
      <c r="A239" s="29"/>
      <c r="B239" s="29"/>
      <c r="C239" s="50"/>
      <c r="D239" s="29"/>
      <c r="E239" s="29"/>
    </row>
    <row r="240" ht="27.0" customHeight="1">
      <c r="A240" s="29"/>
      <c r="B240" s="29"/>
      <c r="C240" s="50"/>
      <c r="D240" s="29"/>
      <c r="E240" s="29"/>
    </row>
    <row r="241" ht="27.0" customHeight="1">
      <c r="A241" s="29"/>
      <c r="B241" s="29"/>
      <c r="C241" s="50"/>
      <c r="D241" s="29"/>
      <c r="E241" s="29"/>
    </row>
    <row r="242" ht="27.0" customHeight="1">
      <c r="A242" s="29"/>
      <c r="B242" s="29"/>
      <c r="C242" s="50"/>
      <c r="D242" s="29"/>
      <c r="E242" s="29"/>
    </row>
    <row r="243" ht="27.0" customHeight="1">
      <c r="A243" s="29"/>
      <c r="B243" s="29"/>
      <c r="C243" s="50"/>
      <c r="D243" s="29"/>
      <c r="E243" s="29"/>
    </row>
    <row r="244" ht="27.0" customHeight="1">
      <c r="A244" s="29"/>
      <c r="B244" s="29"/>
      <c r="C244" s="50"/>
      <c r="D244" s="29"/>
      <c r="E244" s="29"/>
    </row>
    <row r="245" ht="27.0" customHeight="1">
      <c r="A245" s="29"/>
      <c r="B245" s="29"/>
      <c r="C245" s="50"/>
      <c r="D245" s="29"/>
      <c r="E245" s="29"/>
    </row>
    <row r="246" ht="27.0" customHeight="1">
      <c r="A246" s="29"/>
      <c r="B246" s="29"/>
      <c r="C246" s="50"/>
      <c r="D246" s="29"/>
      <c r="E246" s="29"/>
    </row>
    <row r="247" ht="27.0" customHeight="1">
      <c r="A247" s="29"/>
      <c r="B247" s="29"/>
      <c r="C247" s="50"/>
      <c r="D247" s="29"/>
      <c r="E247" s="29"/>
    </row>
    <row r="248" ht="27.0" customHeight="1">
      <c r="A248" s="29"/>
      <c r="B248" s="29"/>
      <c r="C248" s="50"/>
      <c r="D248" s="29"/>
      <c r="E248" s="29"/>
    </row>
    <row r="249" ht="27.0" customHeight="1">
      <c r="A249" s="29"/>
      <c r="B249" s="29"/>
      <c r="C249" s="50"/>
      <c r="D249" s="29"/>
      <c r="E249" s="29"/>
    </row>
    <row r="250" ht="27.0" customHeight="1">
      <c r="A250" s="29"/>
      <c r="B250" s="29"/>
      <c r="C250" s="50"/>
      <c r="D250" s="29"/>
      <c r="E250" s="29"/>
    </row>
    <row r="251" ht="27.0" customHeight="1">
      <c r="A251" s="29"/>
      <c r="B251" s="29"/>
      <c r="C251" s="50"/>
      <c r="D251" s="29"/>
      <c r="E251" s="29"/>
    </row>
    <row r="252" ht="27.0" customHeight="1">
      <c r="A252" s="29"/>
      <c r="B252" s="29"/>
      <c r="C252" s="50"/>
      <c r="D252" s="29"/>
      <c r="E252" s="29"/>
    </row>
    <row r="253" ht="27.0" customHeight="1">
      <c r="A253" s="29"/>
      <c r="B253" s="29"/>
      <c r="C253" s="50"/>
      <c r="D253" s="29"/>
      <c r="E253" s="29"/>
    </row>
    <row r="254" ht="27.0" customHeight="1">
      <c r="A254" s="29"/>
      <c r="B254" s="29"/>
      <c r="C254" s="50"/>
      <c r="D254" s="29"/>
      <c r="E254" s="29"/>
    </row>
    <row r="255" ht="27.0" customHeight="1">
      <c r="A255" s="29"/>
      <c r="B255" s="29"/>
      <c r="C255" s="50"/>
      <c r="D255" s="29"/>
      <c r="E255" s="29"/>
    </row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B24:D35 B40:C42 B45:C47 B51:C55">
    <cfRule type="expression" dxfId="0" priority="1">
      <formula>ISODD(ROW())</formula>
    </cfRule>
  </conditionalFormatting>
  <conditionalFormatting sqref="B24:D35 B40:C42 B45:C47 B51:C55">
    <cfRule type="expression" dxfId="1" priority="2">
      <formula>ISEVEN(ROW())</formula>
    </cfRule>
  </conditionalFormatting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FF"/>
    <outlinePr summaryBelow="0" summaryRight="0"/>
    <pageSetUpPr/>
  </sheetPr>
  <sheetViews>
    <sheetView showGridLines="0" workbookViewId="0"/>
  </sheetViews>
  <sheetFormatPr customHeight="1" defaultColWidth="14.43" defaultRowHeight="15.0"/>
  <cols>
    <col customWidth="1" min="1" max="1" width="3.57"/>
    <col customWidth="1" min="2" max="2" width="3.86"/>
    <col customWidth="1" min="3" max="3" width="3.14"/>
    <col customWidth="1" min="4" max="4" width="6.29"/>
    <col customWidth="1" min="5" max="5" width="4.43"/>
    <col customWidth="1" min="6" max="6" width="21.57"/>
    <col customWidth="1" min="7" max="18" width="9.14"/>
    <col customWidth="1" min="20" max="20" width="11.43"/>
    <col customWidth="1" min="21" max="21" width="13.29"/>
    <col customWidth="1" min="22" max="22" width="3.57"/>
  </cols>
  <sheetData>
    <row r="1" ht="22.5" customHeight="1">
      <c r="A1" s="51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</row>
    <row r="2" ht="30.0" customHeight="1">
      <c r="A2" s="53"/>
      <c r="B2" s="54" t="s">
        <v>11</v>
      </c>
      <c r="C2" s="54"/>
      <c r="D2" s="54"/>
      <c r="E2" s="54"/>
      <c r="F2" s="54"/>
      <c r="G2" s="55" t="s">
        <v>12</v>
      </c>
      <c r="H2" s="56"/>
      <c r="I2" s="56"/>
      <c r="J2" s="56"/>
      <c r="K2" s="56"/>
      <c r="L2" s="56"/>
      <c r="M2" s="56"/>
      <c r="N2" s="56"/>
      <c r="O2" s="56"/>
      <c r="P2" s="56"/>
      <c r="Q2" s="56"/>
      <c r="R2" s="57"/>
      <c r="S2" s="54"/>
      <c r="T2" s="54"/>
      <c r="U2" s="54"/>
      <c r="V2" s="54"/>
    </row>
    <row r="3" ht="25.5" customHeight="1">
      <c r="A3" s="58"/>
      <c r="B3" s="59"/>
      <c r="C3" s="60">
        <v>2020.0</v>
      </c>
      <c r="D3" s="61"/>
      <c r="E3" s="59"/>
      <c r="F3" s="62" t="s">
        <v>13</v>
      </c>
      <c r="G3" s="63">
        <f>IFERROR(_xludf.ifs(F3="January",DATE(0,1,1),F3="February",DATE(0,2,1),F3="March",DATE(0,3,1),F3="April",DATE(0,4,1),F3="May",DATE(0,5,1),F3="June",DATE(0,6,1),F3="July",DATE(0,7,1),F3="August",DATE(0,8,1),F3="September",DATE(0,9,1),F3="October",DATE(0,10,1),F3="November",DATE(0,11,1),F3="December",DATE(0,12,1)),DATE(0,3,1))</f>
        <v>61</v>
      </c>
      <c r="H3" s="63">
        <f t="shared" ref="H3:R3" si="1">DATE(0,MONTH(G$3)+1,1)</f>
        <v>92</v>
      </c>
      <c r="I3" s="63">
        <f t="shared" si="1"/>
        <v>122</v>
      </c>
      <c r="J3" s="63">
        <f t="shared" si="1"/>
        <v>153</v>
      </c>
      <c r="K3" s="63">
        <f t="shared" si="1"/>
        <v>183</v>
      </c>
      <c r="L3" s="63">
        <f t="shared" si="1"/>
        <v>214</v>
      </c>
      <c r="M3" s="63">
        <f t="shared" si="1"/>
        <v>245</v>
      </c>
      <c r="N3" s="63">
        <f t="shared" si="1"/>
        <v>275</v>
      </c>
      <c r="O3" s="63">
        <f t="shared" si="1"/>
        <v>306</v>
      </c>
      <c r="P3" s="63">
        <f t="shared" si="1"/>
        <v>336</v>
      </c>
      <c r="Q3" s="63">
        <f t="shared" si="1"/>
        <v>367</v>
      </c>
      <c r="R3" s="63">
        <f t="shared" si="1"/>
        <v>33</v>
      </c>
      <c r="S3" s="64" t="s">
        <v>14</v>
      </c>
      <c r="T3" s="65" t="s">
        <v>15</v>
      </c>
      <c r="U3" s="65" t="s">
        <v>16</v>
      </c>
      <c r="V3" s="66"/>
    </row>
    <row r="4" ht="42.0" customHeight="1">
      <c r="A4" s="67"/>
      <c r="B4" s="68"/>
      <c r="C4" s="69" t="s">
        <v>17</v>
      </c>
      <c r="D4" s="70"/>
      <c r="E4" s="68"/>
      <c r="F4" s="68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2"/>
      <c r="T4" s="68"/>
      <c r="U4" s="71"/>
      <c r="V4" s="73"/>
    </row>
    <row r="5" ht="22.5" customHeight="1">
      <c r="A5" s="74"/>
      <c r="B5" s="75"/>
      <c r="C5" s="76"/>
      <c r="D5" s="75"/>
      <c r="E5" s="77" t="s">
        <v>5</v>
      </c>
      <c r="G5" s="78"/>
      <c r="H5" s="79"/>
      <c r="I5" s="79"/>
      <c r="J5" s="79"/>
      <c r="K5" s="79"/>
      <c r="L5" s="79"/>
      <c r="M5" s="79"/>
      <c r="N5" s="79"/>
      <c r="O5" s="79"/>
      <c r="P5" s="79"/>
      <c r="Q5" s="79"/>
      <c r="R5" s="80"/>
      <c r="S5" s="81"/>
      <c r="T5" s="82"/>
      <c r="U5" s="83"/>
      <c r="V5" s="75"/>
    </row>
    <row r="6" ht="15.75" customHeight="1">
      <c r="A6" s="74"/>
      <c r="B6" s="75"/>
      <c r="C6" s="76"/>
      <c r="D6" s="75"/>
      <c r="E6" s="75"/>
      <c r="F6" s="84" t="str">
        <f>IFERROR(__xludf.DUMMYFUNCTION("FILTER(Categories!B:B,Categories!C:C=""Revenue"")"),"Grant funding")</f>
        <v>Grant funding</v>
      </c>
      <c r="G6" s="78">
        <v>0.0</v>
      </c>
      <c r="H6" s="79">
        <v>2500.0</v>
      </c>
      <c r="I6" s="79">
        <v>500.0</v>
      </c>
      <c r="J6" s="79">
        <v>0.0</v>
      </c>
      <c r="K6" s="79">
        <v>0.0</v>
      </c>
      <c r="L6" s="79">
        <v>0.0</v>
      </c>
      <c r="M6" s="79">
        <v>0.0</v>
      </c>
      <c r="N6" s="79">
        <v>0.0</v>
      </c>
      <c r="O6" s="79">
        <v>0.0</v>
      </c>
      <c r="P6" s="79">
        <v>1700.0</v>
      </c>
      <c r="Q6" s="79">
        <v>0.0</v>
      </c>
      <c r="R6" s="80">
        <v>0.0</v>
      </c>
      <c r="S6" s="85">
        <f t="shared" ref="S6:S14" si="2">SUM(G6:R6)</f>
        <v>4700</v>
      </c>
      <c r="T6" s="86">
        <v>0.2</v>
      </c>
      <c r="U6" s="83">
        <f t="shared" ref="U6:U7" si="3">S6*(1+T6)</f>
        <v>5640</v>
      </c>
      <c r="V6" s="75"/>
    </row>
    <row r="7" ht="15.75" customHeight="1">
      <c r="A7" s="74"/>
      <c r="B7" s="75"/>
      <c r="C7" s="76"/>
      <c r="D7" s="75"/>
      <c r="E7" s="75"/>
      <c r="F7" s="75" t="str">
        <f>IFERROR(__xludf.DUMMYFUNCTION("""COMPUTED_VALUE"""),"Revenue")</f>
        <v>Revenue</v>
      </c>
      <c r="G7" s="78">
        <v>0.0</v>
      </c>
      <c r="H7" s="79">
        <v>0.0</v>
      </c>
      <c r="I7" s="79">
        <v>47.5</v>
      </c>
      <c r="J7" s="79">
        <v>0.0</v>
      </c>
      <c r="K7" s="79">
        <v>0.0</v>
      </c>
      <c r="L7" s="79">
        <v>32.0</v>
      </c>
      <c r="M7" s="79">
        <v>15.0</v>
      </c>
      <c r="N7" s="79">
        <v>0.0</v>
      </c>
      <c r="O7" s="79">
        <v>0.0</v>
      </c>
      <c r="P7" s="79">
        <v>40.0</v>
      </c>
      <c r="Q7" s="79">
        <v>0.0</v>
      </c>
      <c r="R7" s="80">
        <v>0.0</v>
      </c>
      <c r="S7" s="85">
        <f t="shared" si="2"/>
        <v>134.5</v>
      </c>
      <c r="T7" s="87"/>
      <c r="U7" s="83">
        <f t="shared" si="3"/>
        <v>134.5</v>
      </c>
      <c r="V7" s="75"/>
    </row>
    <row r="8" ht="15.75" customHeight="1">
      <c r="A8" s="74"/>
      <c r="B8" s="75"/>
      <c r="C8" s="76"/>
      <c r="D8" s="75"/>
      <c r="E8" s="75"/>
      <c r="F8" s="75" t="str">
        <f>IFERROR(__xludf.DUMMYFUNCTION("""COMPUTED_VALUE"""),"Interest")</f>
        <v>Interest</v>
      </c>
      <c r="G8" s="78">
        <v>0.19</v>
      </c>
      <c r="H8" s="79">
        <v>0.16</v>
      </c>
      <c r="I8" s="79">
        <v>0.15</v>
      </c>
      <c r="J8" s="79">
        <v>0.13</v>
      </c>
      <c r="K8" s="79">
        <v>0.14</v>
      </c>
      <c r="L8" s="79">
        <v>0.15</v>
      </c>
      <c r="M8" s="79">
        <v>0.16</v>
      </c>
      <c r="N8" s="79">
        <v>0.18</v>
      </c>
      <c r="O8" s="79">
        <v>0.16</v>
      </c>
      <c r="P8" s="79">
        <v>0.38</v>
      </c>
      <c r="Q8" s="79">
        <v>0.39</v>
      </c>
      <c r="R8" s="80">
        <v>0.18</v>
      </c>
      <c r="S8" s="85">
        <f t="shared" si="2"/>
        <v>2.37</v>
      </c>
      <c r="T8" s="87"/>
      <c r="U8" s="83"/>
      <c r="V8" s="75"/>
    </row>
    <row r="9" ht="15.75" customHeight="1">
      <c r="A9" s="74"/>
      <c r="B9" s="75"/>
      <c r="C9" s="76"/>
      <c r="D9" s="75"/>
      <c r="E9" s="75"/>
      <c r="F9" s="75" t="str">
        <f>IFERROR(__xludf.DUMMYFUNCTION("""COMPUTED_VALUE"""),"Fundraising")</f>
        <v>Fundraising</v>
      </c>
      <c r="G9" s="78">
        <v>0.0</v>
      </c>
      <c r="H9" s="79">
        <v>0.0</v>
      </c>
      <c r="I9" s="79">
        <v>0.0</v>
      </c>
      <c r="J9" s="79">
        <v>0.0</v>
      </c>
      <c r="K9" s="79">
        <v>0.0</v>
      </c>
      <c r="L9" s="79">
        <v>0.0</v>
      </c>
      <c r="M9" s="79">
        <v>0.0</v>
      </c>
      <c r="N9" s="79">
        <v>0.0</v>
      </c>
      <c r="O9" s="79">
        <v>0.0</v>
      </c>
      <c r="P9" s="79">
        <v>1302.06</v>
      </c>
      <c r="Q9" s="79">
        <v>0.0</v>
      </c>
      <c r="R9" s="80">
        <v>0.0</v>
      </c>
      <c r="S9" s="85">
        <f t="shared" si="2"/>
        <v>1302.06</v>
      </c>
      <c r="T9" s="87"/>
      <c r="U9" s="83"/>
      <c r="V9" s="75"/>
    </row>
    <row r="10" ht="15.75" customHeight="1">
      <c r="A10" s="74"/>
      <c r="B10" s="75"/>
      <c r="C10" s="76"/>
      <c r="D10" s="75"/>
      <c r="E10" s="75"/>
      <c r="F10" s="75" t="str">
        <f>IFERROR(__xludf.DUMMYFUNCTION("""COMPUTED_VALUE"""),"Donation")</f>
        <v>Donation</v>
      </c>
      <c r="G10" s="78">
        <v>0.0</v>
      </c>
      <c r="H10" s="79">
        <v>0.0</v>
      </c>
      <c r="I10" s="79">
        <v>0.0</v>
      </c>
      <c r="J10" s="79">
        <v>0.0</v>
      </c>
      <c r="K10" s="79">
        <v>0.0</v>
      </c>
      <c r="L10" s="79">
        <v>0.0</v>
      </c>
      <c r="M10" s="79">
        <v>0.0</v>
      </c>
      <c r="N10" s="79">
        <v>0.0</v>
      </c>
      <c r="O10" s="79">
        <v>0.0</v>
      </c>
      <c r="P10" s="79">
        <v>3000.0</v>
      </c>
      <c r="Q10" s="79">
        <v>530.0</v>
      </c>
      <c r="R10" s="80">
        <v>0.0</v>
      </c>
      <c r="S10" s="85">
        <f t="shared" si="2"/>
        <v>3530</v>
      </c>
      <c r="T10" s="87"/>
      <c r="U10" s="83"/>
      <c r="V10" s="75"/>
    </row>
    <row r="11" ht="15.75" customHeight="1">
      <c r="A11" s="74"/>
      <c r="B11" s="75"/>
      <c r="C11" s="76"/>
      <c r="D11" s="75"/>
      <c r="E11" s="75"/>
      <c r="F11" s="75" t="str">
        <f>IFERROR(__xludf.DUMMYFUNCTION("""COMPUTED_VALUE"""),"Sublet")</f>
        <v>Sublet</v>
      </c>
      <c r="G11" s="78">
        <v>0.0</v>
      </c>
      <c r="H11" s="79">
        <v>0.0</v>
      </c>
      <c r="I11" s="79">
        <v>0.0</v>
      </c>
      <c r="J11" s="79">
        <v>0.0</v>
      </c>
      <c r="K11" s="79">
        <v>0.0</v>
      </c>
      <c r="L11" s="79">
        <v>70.0</v>
      </c>
      <c r="M11" s="79">
        <v>220.0</v>
      </c>
      <c r="N11" s="79">
        <v>0.0</v>
      </c>
      <c r="O11" s="79">
        <v>0.0</v>
      </c>
      <c r="P11" s="79">
        <v>0.0</v>
      </c>
      <c r="Q11" s="79">
        <v>292.5</v>
      </c>
      <c r="R11" s="80">
        <v>180.0</v>
      </c>
      <c r="S11" s="85">
        <f t="shared" si="2"/>
        <v>762.5</v>
      </c>
      <c r="T11" s="87"/>
      <c r="U11" s="88">
        <f>S11*(1+T11)</f>
        <v>762.5</v>
      </c>
      <c r="V11" s="75"/>
    </row>
    <row r="12" ht="15.75" customHeight="1">
      <c r="A12" s="74"/>
      <c r="B12" s="75"/>
      <c r="C12" s="76"/>
      <c r="D12" s="75"/>
      <c r="E12" s="75"/>
      <c r="F12" s="75" t="str">
        <f>IFERROR(__xludf.DUMMYFUNCTION("""COMPUTED_VALUE"""),"Subs/Sales/Discipline")</f>
        <v>Subs/Sales/Discipline</v>
      </c>
      <c r="G12" s="78">
        <v>0.0</v>
      </c>
      <c r="H12" s="79">
        <v>223.51</v>
      </c>
      <c r="I12" s="79">
        <v>4260.0</v>
      </c>
      <c r="J12" s="79">
        <v>5946.0</v>
      </c>
      <c r="K12" s="79">
        <v>6020.0</v>
      </c>
      <c r="L12" s="79">
        <v>4874.0</v>
      </c>
      <c r="M12" s="79">
        <v>5646.29</v>
      </c>
      <c r="N12" s="79">
        <v>5516.09</v>
      </c>
      <c r="O12" s="79">
        <v>391.03</v>
      </c>
      <c r="P12" s="79">
        <v>692.0</v>
      </c>
      <c r="Q12" s="79">
        <v>822.77</v>
      </c>
      <c r="R12" s="80">
        <v>6373.25</v>
      </c>
      <c r="S12" s="85">
        <f t="shared" si="2"/>
        <v>40764.94</v>
      </c>
      <c r="T12" s="87"/>
      <c r="U12" s="83"/>
      <c r="V12" s="75"/>
    </row>
    <row r="13" ht="15.75" customHeight="1">
      <c r="A13" s="74"/>
      <c r="B13" s="75"/>
      <c r="C13" s="76"/>
      <c r="D13" s="75"/>
      <c r="E13" s="75"/>
      <c r="F13" s="75" t="str">
        <f>IFERROR(__xludf.DUMMYFUNCTION("""COMPUTED_VALUE"""),"Sponsorship")</f>
        <v>Sponsorship</v>
      </c>
      <c r="G13" s="78">
        <v>0.0</v>
      </c>
      <c r="H13" s="79">
        <v>1223.0</v>
      </c>
      <c r="I13" s="79">
        <v>0.0</v>
      </c>
      <c r="J13" s="79">
        <v>500.0</v>
      </c>
      <c r="K13" s="79">
        <v>0.0</v>
      </c>
      <c r="L13" s="79">
        <v>0.0</v>
      </c>
      <c r="M13" s="79">
        <v>0.0</v>
      </c>
      <c r="N13" s="79">
        <v>0.0</v>
      </c>
      <c r="O13" s="79">
        <v>0.0</v>
      </c>
      <c r="P13" s="79">
        <v>679.68</v>
      </c>
      <c r="Q13" s="79">
        <v>0.0</v>
      </c>
      <c r="R13" s="80">
        <v>0.0</v>
      </c>
      <c r="S13" s="85">
        <f t="shared" si="2"/>
        <v>2402.68</v>
      </c>
      <c r="T13" s="87"/>
      <c r="U13" s="83"/>
      <c r="V13" s="75"/>
    </row>
    <row r="14" ht="15.75" customHeight="1">
      <c r="A14" s="74"/>
      <c r="B14" s="75"/>
      <c r="C14" s="76"/>
      <c r="D14" s="75"/>
      <c r="E14" s="75"/>
      <c r="F14" s="75" t="str">
        <f>IFERROR(__xludf.DUMMYFUNCTION("""COMPUTED_VALUE"""),"Cafe Sales")</f>
        <v>Cafe Sales</v>
      </c>
      <c r="G14" s="78">
        <v>0.0</v>
      </c>
      <c r="H14" s="79">
        <v>0.0</v>
      </c>
      <c r="I14" s="79">
        <v>0.0</v>
      </c>
      <c r="J14" s="79">
        <v>0.0</v>
      </c>
      <c r="K14" s="79">
        <v>295.0</v>
      </c>
      <c r="L14" s="79">
        <v>0.0</v>
      </c>
      <c r="M14" s="79">
        <v>0.0</v>
      </c>
      <c r="N14" s="79">
        <v>0.0</v>
      </c>
      <c r="O14" s="79">
        <v>0.0</v>
      </c>
      <c r="P14" s="79">
        <v>0.0</v>
      </c>
      <c r="Q14" s="79">
        <v>0.0</v>
      </c>
      <c r="R14" s="80">
        <v>102.27</v>
      </c>
      <c r="S14" s="85">
        <f t="shared" si="2"/>
        <v>397.27</v>
      </c>
      <c r="T14" s="87"/>
      <c r="U14" s="83"/>
      <c r="V14" s="75"/>
    </row>
    <row r="15" ht="15.75" customHeight="1">
      <c r="A15" s="74"/>
      <c r="B15" s="75"/>
      <c r="C15" s="76"/>
      <c r="D15" s="75"/>
      <c r="E15" s="75"/>
      <c r="F15" s="89" t="s">
        <v>18</v>
      </c>
      <c r="G15" s="90">
        <f t="shared" ref="G15:S15" si="4">SUM(G5:G14)</f>
        <v>0.19</v>
      </c>
      <c r="H15" s="90">
        <f t="shared" si="4"/>
        <v>3946.67</v>
      </c>
      <c r="I15" s="90">
        <f t="shared" si="4"/>
        <v>4807.65</v>
      </c>
      <c r="J15" s="90">
        <f t="shared" si="4"/>
        <v>6446.13</v>
      </c>
      <c r="K15" s="90">
        <f t="shared" si="4"/>
        <v>6315.14</v>
      </c>
      <c r="L15" s="90">
        <f t="shared" si="4"/>
        <v>4976.15</v>
      </c>
      <c r="M15" s="90">
        <f t="shared" si="4"/>
        <v>5881.45</v>
      </c>
      <c r="N15" s="90">
        <f t="shared" si="4"/>
        <v>5516.27</v>
      </c>
      <c r="O15" s="90">
        <f t="shared" si="4"/>
        <v>391.19</v>
      </c>
      <c r="P15" s="90">
        <f t="shared" si="4"/>
        <v>7414.12</v>
      </c>
      <c r="Q15" s="90">
        <f t="shared" si="4"/>
        <v>1645.66</v>
      </c>
      <c r="R15" s="90">
        <f t="shared" si="4"/>
        <v>6655.7</v>
      </c>
      <c r="S15" s="85">
        <f t="shared" si="4"/>
        <v>53996.32</v>
      </c>
      <c r="T15" s="87"/>
      <c r="U15" s="83">
        <f>SUM(U5:U11)</f>
        <v>6537</v>
      </c>
      <c r="V15" s="75"/>
    </row>
    <row r="16" ht="15.75" customHeight="1">
      <c r="A16" s="74"/>
      <c r="B16" s="75"/>
      <c r="C16" s="76"/>
      <c r="D16" s="75"/>
      <c r="E16" s="75"/>
      <c r="F16" s="75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81"/>
      <c r="T16" s="87"/>
      <c r="U16" s="83"/>
      <c r="V16" s="75"/>
    </row>
    <row r="17" ht="15.75" hidden="1" customHeight="1">
      <c r="A17" s="74"/>
      <c r="B17" s="91"/>
      <c r="C17" s="92"/>
      <c r="D17" s="91"/>
      <c r="E17" s="93" t="s">
        <v>19</v>
      </c>
      <c r="F17" s="94"/>
      <c r="G17" s="78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80"/>
      <c r="S17" s="95"/>
      <c r="T17" s="87"/>
      <c r="U17" s="96"/>
      <c r="V17" s="91"/>
    </row>
    <row r="18" ht="15.75" hidden="1" customHeight="1">
      <c r="A18" s="74"/>
      <c r="B18" s="75"/>
      <c r="C18" s="76"/>
      <c r="D18" s="75"/>
      <c r="F18" s="84" t="str">
        <f>IFERROR(__xludf.DUMMYFUNCTION("FILTER(Categories!B:B,Categories!C:C=""Cost of Goods Sold"")"),"#N/A")</f>
        <v>#N/A</v>
      </c>
      <c r="G18" s="78">
        <v>0.0</v>
      </c>
      <c r="H18" s="79">
        <v>0.0</v>
      </c>
      <c r="I18" s="79">
        <v>0.0</v>
      </c>
      <c r="J18" s="79">
        <v>0.0</v>
      </c>
      <c r="K18" s="79">
        <v>0.0</v>
      </c>
      <c r="L18" s="79">
        <v>0.0</v>
      </c>
      <c r="M18" s="79">
        <v>0.0</v>
      </c>
      <c r="N18" s="79">
        <v>0.0</v>
      </c>
      <c r="O18" s="79">
        <v>0.0</v>
      </c>
      <c r="P18" s="79">
        <v>0.0</v>
      </c>
      <c r="Q18" s="79">
        <v>0.0</v>
      </c>
      <c r="R18" s="80">
        <v>0.0</v>
      </c>
      <c r="S18" s="85">
        <f t="shared" ref="S18:S20" si="5">SUM(G18:R18)</f>
        <v>0</v>
      </c>
      <c r="T18" s="87"/>
      <c r="U18" s="83">
        <f t="shared" ref="U18:U20" si="6">S18*(1+T18)</f>
        <v>0</v>
      </c>
      <c r="V18" s="75"/>
    </row>
    <row r="19" ht="15.75" hidden="1" customHeight="1">
      <c r="A19" s="74"/>
      <c r="B19" s="75"/>
      <c r="C19" s="76"/>
      <c r="F19" s="75"/>
      <c r="G19" s="78">
        <v>0.0</v>
      </c>
      <c r="H19" s="79">
        <v>0.0</v>
      </c>
      <c r="I19" s="79">
        <v>0.0</v>
      </c>
      <c r="J19" s="79">
        <v>0.0</v>
      </c>
      <c r="K19" s="79">
        <v>0.0</v>
      </c>
      <c r="L19" s="79">
        <v>0.0</v>
      </c>
      <c r="M19" s="79">
        <v>0.0</v>
      </c>
      <c r="N19" s="79">
        <v>0.0</v>
      </c>
      <c r="O19" s="79">
        <v>0.0</v>
      </c>
      <c r="P19" s="79">
        <v>0.0</v>
      </c>
      <c r="Q19" s="79">
        <v>0.0</v>
      </c>
      <c r="R19" s="80">
        <v>0.0</v>
      </c>
      <c r="S19" s="85">
        <f t="shared" si="5"/>
        <v>0</v>
      </c>
      <c r="T19" s="87"/>
      <c r="U19" s="83">
        <f t="shared" si="6"/>
        <v>0</v>
      </c>
      <c r="V19" s="75"/>
    </row>
    <row r="20" ht="15.75" hidden="1" customHeight="1">
      <c r="A20" s="74"/>
      <c r="B20" s="75"/>
      <c r="C20" s="76"/>
      <c r="F20" s="97"/>
      <c r="G20" s="98">
        <v>0.0</v>
      </c>
      <c r="H20" s="99">
        <v>0.0</v>
      </c>
      <c r="I20" s="99">
        <v>0.0</v>
      </c>
      <c r="J20" s="99">
        <v>0.0</v>
      </c>
      <c r="K20" s="99">
        <v>0.0</v>
      </c>
      <c r="L20" s="99">
        <v>0.0</v>
      </c>
      <c r="M20" s="99">
        <v>0.0</v>
      </c>
      <c r="N20" s="99">
        <v>0.0</v>
      </c>
      <c r="O20" s="99">
        <v>0.0</v>
      </c>
      <c r="P20" s="99">
        <v>0.0</v>
      </c>
      <c r="Q20" s="99">
        <v>0.0</v>
      </c>
      <c r="R20" s="100">
        <v>0.0</v>
      </c>
      <c r="S20" s="101">
        <f t="shared" si="5"/>
        <v>0</v>
      </c>
      <c r="T20" s="87"/>
      <c r="U20" s="88">
        <f t="shared" si="6"/>
        <v>0</v>
      </c>
      <c r="V20" s="75"/>
    </row>
    <row r="21" ht="15.75" hidden="1" customHeight="1">
      <c r="A21" s="74"/>
      <c r="B21" s="75"/>
      <c r="C21" s="76"/>
      <c r="F21" s="102" t="s">
        <v>20</v>
      </c>
      <c r="G21" s="90">
        <f t="shared" ref="G21:S21" si="7">SUM(G17:G20)</f>
        <v>0</v>
      </c>
      <c r="H21" s="90">
        <f t="shared" si="7"/>
        <v>0</v>
      </c>
      <c r="I21" s="90">
        <f t="shared" si="7"/>
        <v>0</v>
      </c>
      <c r="J21" s="90">
        <f t="shared" si="7"/>
        <v>0</v>
      </c>
      <c r="K21" s="90">
        <f t="shared" si="7"/>
        <v>0</v>
      </c>
      <c r="L21" s="90">
        <f t="shared" si="7"/>
        <v>0</v>
      </c>
      <c r="M21" s="90">
        <f t="shared" si="7"/>
        <v>0</v>
      </c>
      <c r="N21" s="90">
        <f t="shared" si="7"/>
        <v>0</v>
      </c>
      <c r="O21" s="90">
        <f t="shared" si="7"/>
        <v>0</v>
      </c>
      <c r="P21" s="90">
        <f t="shared" si="7"/>
        <v>0</v>
      </c>
      <c r="Q21" s="90">
        <f t="shared" si="7"/>
        <v>0</v>
      </c>
      <c r="R21" s="90">
        <f t="shared" si="7"/>
        <v>0</v>
      </c>
      <c r="S21" s="85">
        <f t="shared" si="7"/>
        <v>0</v>
      </c>
      <c r="T21" s="87"/>
      <c r="U21" s="83">
        <f>SUM(U17:U20)</f>
        <v>0</v>
      </c>
      <c r="V21" s="75"/>
    </row>
    <row r="22" ht="15.75" hidden="1" customHeight="1">
      <c r="A22" s="74"/>
      <c r="B22" s="75"/>
      <c r="C22" s="76"/>
      <c r="F22" s="75"/>
      <c r="G22" s="78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80"/>
      <c r="S22" s="81"/>
      <c r="T22" s="87"/>
      <c r="U22" s="83"/>
      <c r="V22" s="75"/>
    </row>
    <row r="23" ht="15.75" customHeight="1">
      <c r="A23" s="103"/>
      <c r="B23" s="104"/>
      <c r="C23" s="105"/>
      <c r="D23" s="106" t="s">
        <v>21</v>
      </c>
      <c r="E23" s="107"/>
      <c r="F23" s="107"/>
      <c r="G23" s="108">
        <f t="shared" ref="G23:R23" si="8">G15 - G21</f>
        <v>0.19</v>
      </c>
      <c r="H23" s="108">
        <f t="shared" si="8"/>
        <v>3946.67</v>
      </c>
      <c r="I23" s="108">
        <f t="shared" si="8"/>
        <v>4807.65</v>
      </c>
      <c r="J23" s="108">
        <f t="shared" si="8"/>
        <v>6446.13</v>
      </c>
      <c r="K23" s="108">
        <f t="shared" si="8"/>
        <v>6315.14</v>
      </c>
      <c r="L23" s="108">
        <f t="shared" si="8"/>
        <v>4976.15</v>
      </c>
      <c r="M23" s="108">
        <f t="shared" si="8"/>
        <v>5881.45</v>
      </c>
      <c r="N23" s="108">
        <f t="shared" si="8"/>
        <v>5516.27</v>
      </c>
      <c r="O23" s="108">
        <f t="shared" si="8"/>
        <v>391.19</v>
      </c>
      <c r="P23" s="108">
        <f t="shared" si="8"/>
        <v>7414.12</v>
      </c>
      <c r="Q23" s="108">
        <f t="shared" si="8"/>
        <v>1645.66</v>
      </c>
      <c r="R23" s="108">
        <f t="shared" si="8"/>
        <v>6655.7</v>
      </c>
      <c r="S23" s="109">
        <f>SUM(G23:R23)</f>
        <v>53996.32</v>
      </c>
      <c r="T23" s="87"/>
      <c r="U23" s="110">
        <f>U15-U21</f>
        <v>6537</v>
      </c>
      <c r="V23" s="111"/>
    </row>
    <row r="24" ht="15.75" customHeight="1">
      <c r="A24" s="74"/>
      <c r="B24" s="112"/>
      <c r="C24" s="113"/>
      <c r="D24" s="112"/>
      <c r="E24" s="112"/>
      <c r="F24" s="112"/>
      <c r="G24" s="114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6"/>
      <c r="S24" s="117"/>
      <c r="T24" s="118"/>
      <c r="U24" s="119"/>
      <c r="V24" s="75"/>
    </row>
    <row r="25" ht="44.25" customHeight="1">
      <c r="A25" s="120"/>
      <c r="B25" s="121"/>
      <c r="C25" s="122" t="s">
        <v>22</v>
      </c>
      <c r="D25" s="123"/>
      <c r="E25" s="123"/>
      <c r="F25" s="123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5"/>
      <c r="T25" s="126"/>
      <c r="U25" s="127"/>
      <c r="V25" s="126"/>
    </row>
    <row r="26" ht="15.75" customHeight="1">
      <c r="A26" s="74"/>
      <c r="B26" s="84"/>
      <c r="C26" s="84"/>
      <c r="D26" s="40"/>
      <c r="E26" s="84"/>
      <c r="F26" s="84" t="str">
        <f>IFERROR(__xludf.DUMMYFUNCTION("FILTER(Categories!B:B,Categories!C:C=""Expenses"")"),"Advertising")</f>
        <v>Advertising</v>
      </c>
      <c r="G26" s="128">
        <v>0.0</v>
      </c>
      <c r="H26" s="128">
        <v>0.0</v>
      </c>
      <c r="I26" s="128">
        <v>0.0</v>
      </c>
      <c r="J26" s="128">
        <v>0.0</v>
      </c>
      <c r="K26" s="128">
        <v>0.0</v>
      </c>
      <c r="L26" s="128">
        <v>0.0</v>
      </c>
      <c r="M26" s="128">
        <v>0.0</v>
      </c>
      <c r="N26" s="128">
        <v>0.0</v>
      </c>
      <c r="O26" s="128">
        <v>0.0</v>
      </c>
      <c r="P26" s="128">
        <v>0.0</v>
      </c>
      <c r="Q26" s="128">
        <v>0.0</v>
      </c>
      <c r="R26" s="128">
        <v>0.0</v>
      </c>
      <c r="S26" s="85">
        <f t="shared" ref="S26:S45" si="9">SUM(G26:R26)</f>
        <v>0</v>
      </c>
      <c r="T26" s="129"/>
      <c r="U26" s="83">
        <f>S26*(1+T26)</f>
        <v>0</v>
      </c>
      <c r="V26" s="75"/>
    </row>
    <row r="27" ht="15.75" customHeight="1">
      <c r="A27" s="74"/>
      <c r="B27" s="75"/>
      <c r="C27" s="75"/>
      <c r="D27" s="75"/>
      <c r="E27" s="75"/>
      <c r="F27" s="84" t="str">
        <f>IFERROR(__xludf.DUMMYFUNCTION("""COMPUTED_VALUE"""),"Pitch Hire")</f>
        <v>Pitch Hire</v>
      </c>
      <c r="G27" s="128">
        <v>0.0</v>
      </c>
      <c r="H27" s="128">
        <v>-900.0</v>
      </c>
      <c r="I27" s="128">
        <v>0.0</v>
      </c>
      <c r="J27" s="128">
        <v>-2700.0</v>
      </c>
      <c r="K27" s="128">
        <v>-2360.0</v>
      </c>
      <c r="L27" s="128">
        <v>0.0</v>
      </c>
      <c r="M27" s="128">
        <v>-5065.0</v>
      </c>
      <c r="N27" s="128">
        <v>0.0</v>
      </c>
      <c r="O27" s="128">
        <v>0.0</v>
      </c>
      <c r="P27" s="128">
        <v>0.0</v>
      </c>
      <c r="Q27" s="128">
        <v>-1305.0</v>
      </c>
      <c r="R27" s="128">
        <v>0.0</v>
      </c>
      <c r="S27" s="85">
        <f t="shared" si="9"/>
        <v>-12330</v>
      </c>
      <c r="T27" s="130"/>
      <c r="U27" s="83"/>
      <c r="V27" s="75"/>
    </row>
    <row r="28" ht="15.75" customHeight="1">
      <c r="A28" s="74"/>
      <c r="B28" s="75"/>
      <c r="C28" s="75"/>
      <c r="D28" s="75"/>
      <c r="E28" s="75"/>
      <c r="F28" s="84" t="str">
        <f>IFERROR(__xludf.DUMMYFUNCTION("""COMPUTED_VALUE"""),"Equipment")</f>
        <v>Equipment</v>
      </c>
      <c r="G28" s="128">
        <v>0.0</v>
      </c>
      <c r="H28" s="128">
        <v>-756.03</v>
      </c>
      <c r="I28" s="128">
        <v>-900.6</v>
      </c>
      <c r="J28" s="128">
        <v>-1363.91</v>
      </c>
      <c r="K28" s="128">
        <v>-1669.94</v>
      </c>
      <c r="L28" s="128">
        <v>0.0</v>
      </c>
      <c r="M28" s="128">
        <v>-10.0</v>
      </c>
      <c r="N28" s="128">
        <v>-311.42</v>
      </c>
      <c r="O28" s="128">
        <v>0.0</v>
      </c>
      <c r="P28" s="128">
        <v>-442.97</v>
      </c>
      <c r="Q28" s="128">
        <v>-1405.27</v>
      </c>
      <c r="R28" s="128">
        <v>-1176.54</v>
      </c>
      <c r="S28" s="85">
        <f t="shared" si="9"/>
        <v>-8036.68</v>
      </c>
      <c r="T28" s="130"/>
      <c r="U28" s="83"/>
      <c r="V28" s="75"/>
    </row>
    <row r="29" ht="15.75" customHeight="1">
      <c r="A29" s="74"/>
      <c r="B29" s="75"/>
      <c r="C29" s="75"/>
      <c r="D29" s="75"/>
      <c r="E29" s="75"/>
      <c r="F29" s="84" t="str">
        <f>IFERROR(__xludf.DUMMYFUNCTION("""COMPUTED_VALUE"""),"Kit")</f>
        <v>Kit</v>
      </c>
      <c r="G29" s="128">
        <v>0.0</v>
      </c>
      <c r="H29" s="128">
        <v>-2338.18</v>
      </c>
      <c r="I29" s="128">
        <v>-2066.84</v>
      </c>
      <c r="J29" s="128">
        <v>-1156.3</v>
      </c>
      <c r="K29" s="128">
        <v>0.0</v>
      </c>
      <c r="L29" s="128">
        <v>-804.93</v>
      </c>
      <c r="M29" s="128">
        <v>-3510.34</v>
      </c>
      <c r="N29" s="128">
        <v>-35.15</v>
      </c>
      <c r="O29" s="128">
        <v>0.0</v>
      </c>
      <c r="P29" s="128">
        <v>-753.16</v>
      </c>
      <c r="Q29" s="128">
        <v>-295.15</v>
      </c>
      <c r="R29" s="128">
        <v>-562.2</v>
      </c>
      <c r="S29" s="85">
        <f t="shared" si="9"/>
        <v>-11522.25</v>
      </c>
      <c r="T29" s="130"/>
      <c r="U29" s="83">
        <f t="shared" ref="U29:U41" si="10">S29*(1+T29)</f>
        <v>-11522.25</v>
      </c>
      <c r="V29" s="75"/>
    </row>
    <row r="30" ht="15.75" customHeight="1">
      <c r="A30" s="74"/>
      <c r="B30" s="75"/>
      <c r="C30" s="75"/>
      <c r="D30" s="75"/>
      <c r="E30" s="75"/>
      <c r="F30" s="84" t="str">
        <f>IFERROR(__xludf.DUMMYFUNCTION("""COMPUTED_VALUE"""),"Facility Improvement")</f>
        <v>Facility Improvement</v>
      </c>
      <c r="G30" s="128">
        <v>0.0</v>
      </c>
      <c r="H30" s="128">
        <v>0.0</v>
      </c>
      <c r="I30" s="128">
        <v>0.0</v>
      </c>
      <c r="J30" s="128">
        <v>-80.0</v>
      </c>
      <c r="K30" s="128">
        <v>-503.4</v>
      </c>
      <c r="L30" s="128">
        <v>0.0</v>
      </c>
      <c r="M30" s="128">
        <v>0.0</v>
      </c>
      <c r="N30" s="128">
        <v>-90.0</v>
      </c>
      <c r="O30" s="128">
        <v>0.0</v>
      </c>
      <c r="P30" s="128">
        <v>-170.48</v>
      </c>
      <c r="Q30" s="128">
        <v>-3415.75</v>
      </c>
      <c r="R30" s="128">
        <v>-825.96</v>
      </c>
      <c r="S30" s="85">
        <f t="shared" si="9"/>
        <v>-5085.59</v>
      </c>
      <c r="T30" s="130"/>
      <c r="U30" s="83">
        <f t="shared" si="10"/>
        <v>-5085.59</v>
      </c>
      <c r="V30" s="75"/>
    </row>
    <row r="31" ht="15.75" customHeight="1">
      <c r="A31" s="74"/>
      <c r="B31" s="75"/>
      <c r="C31" s="75"/>
      <c r="D31" s="75"/>
      <c r="E31" s="75"/>
      <c r="F31" s="84" t="str">
        <f>IFERROR(__xludf.DUMMYFUNCTION("""COMPUTED_VALUE"""),"Ref Fees")</f>
        <v>Ref Fees</v>
      </c>
      <c r="G31" s="128">
        <v>0.0</v>
      </c>
      <c r="H31" s="128">
        <v>0.0</v>
      </c>
      <c r="I31" s="128">
        <v>0.0</v>
      </c>
      <c r="J31" s="128">
        <v>-1035.0</v>
      </c>
      <c r="K31" s="128">
        <v>-400.0</v>
      </c>
      <c r="L31" s="128">
        <v>-30.0</v>
      </c>
      <c r="M31" s="128">
        <v>-10.0</v>
      </c>
      <c r="N31" s="128">
        <v>0.0</v>
      </c>
      <c r="O31" s="128">
        <v>0.0</v>
      </c>
      <c r="P31" s="128">
        <v>0.0</v>
      </c>
      <c r="Q31" s="128">
        <v>-920.0</v>
      </c>
      <c r="R31" s="128">
        <v>-220.0</v>
      </c>
      <c r="S31" s="85">
        <f t="shared" si="9"/>
        <v>-2615</v>
      </c>
      <c r="T31" s="130"/>
      <c r="U31" s="83">
        <f t="shared" si="10"/>
        <v>-2615</v>
      </c>
      <c r="V31" s="75"/>
    </row>
    <row r="32" ht="15.75" customHeight="1">
      <c r="A32" s="74"/>
      <c r="B32" s="75"/>
      <c r="C32" s="75"/>
      <c r="D32" s="75"/>
      <c r="E32" s="75"/>
      <c r="F32" s="84" t="str">
        <f>IFERROR(__xludf.DUMMYFUNCTION("""COMPUTED_VALUE"""),"Club Admin")</f>
        <v>Club Admin</v>
      </c>
      <c r="G32" s="128">
        <v>0.0</v>
      </c>
      <c r="H32" s="128">
        <v>-280.48</v>
      </c>
      <c r="I32" s="128">
        <v>-1180.0</v>
      </c>
      <c r="J32" s="128">
        <v>-531.16</v>
      </c>
      <c r="K32" s="128">
        <v>-416.74</v>
      </c>
      <c r="L32" s="128">
        <v>-503.5</v>
      </c>
      <c r="M32" s="128">
        <v>-543.51</v>
      </c>
      <c r="N32" s="128">
        <v>-416.39</v>
      </c>
      <c r="O32" s="128">
        <v>-332.9</v>
      </c>
      <c r="P32" s="128">
        <v>-147.93</v>
      </c>
      <c r="Q32" s="128">
        <v>-262.8</v>
      </c>
      <c r="R32" s="128">
        <v>-535.39</v>
      </c>
      <c r="S32" s="85">
        <f t="shared" si="9"/>
        <v>-5150.8</v>
      </c>
      <c r="T32" s="130"/>
      <c r="U32" s="83">
        <f t="shared" si="10"/>
        <v>-5150.8</v>
      </c>
      <c r="V32" s="75"/>
    </row>
    <row r="33" ht="15.75" customHeight="1">
      <c r="A33" s="74"/>
      <c r="B33" s="75"/>
      <c r="C33" s="75"/>
      <c r="D33" s="75"/>
      <c r="E33" s="75"/>
      <c r="F33" s="84" t="str">
        <f>IFERROR(__xludf.DUMMYFUNCTION("""COMPUTED_VALUE"""),"Cafe Stock")</f>
        <v>Cafe Stock</v>
      </c>
      <c r="G33" s="128">
        <v>0.0</v>
      </c>
      <c r="H33" s="128">
        <v>0.0</v>
      </c>
      <c r="I33" s="128">
        <v>0.0</v>
      </c>
      <c r="J33" s="128">
        <v>-171.0</v>
      </c>
      <c r="K33" s="128">
        <v>-46.72</v>
      </c>
      <c r="L33" s="128">
        <v>0.0</v>
      </c>
      <c r="M33" s="128">
        <v>0.0</v>
      </c>
      <c r="N33" s="128">
        <v>0.0</v>
      </c>
      <c r="O33" s="128">
        <v>0.0</v>
      </c>
      <c r="P33" s="128">
        <v>0.0</v>
      </c>
      <c r="Q33" s="128">
        <v>-163.28</v>
      </c>
      <c r="R33" s="128">
        <v>-222.3</v>
      </c>
      <c r="S33" s="85">
        <f t="shared" si="9"/>
        <v>-603.3</v>
      </c>
      <c r="T33" s="130"/>
      <c r="U33" s="83">
        <f t="shared" si="10"/>
        <v>-603.3</v>
      </c>
      <c r="V33" s="75"/>
    </row>
    <row r="34" ht="15.75" customHeight="1">
      <c r="A34" s="74"/>
      <c r="B34" s="75"/>
      <c r="C34" s="75"/>
      <c r="D34" s="75"/>
      <c r="E34" s="75"/>
      <c r="F34" s="84" t="str">
        <f>IFERROR(__xludf.DUMMYFUNCTION("""COMPUTED_VALUE"""),"DBS/Coach Education")</f>
        <v>DBS/Coach Education</v>
      </c>
      <c r="G34" s="128">
        <v>0.0</v>
      </c>
      <c r="H34" s="128">
        <v>-60.0</v>
      </c>
      <c r="I34" s="128">
        <v>0.0</v>
      </c>
      <c r="J34" s="128">
        <v>-70.0</v>
      </c>
      <c r="K34" s="128">
        <v>-290.0</v>
      </c>
      <c r="L34" s="128">
        <v>-60.0</v>
      </c>
      <c r="M34" s="128">
        <v>0.0</v>
      </c>
      <c r="N34" s="128">
        <v>0.0</v>
      </c>
      <c r="O34" s="128">
        <v>0.0</v>
      </c>
      <c r="P34" s="128">
        <v>0.0</v>
      </c>
      <c r="Q34" s="128">
        <v>-50.0</v>
      </c>
      <c r="R34" s="128">
        <v>-160.0</v>
      </c>
      <c r="S34" s="85">
        <f t="shared" si="9"/>
        <v>-690</v>
      </c>
      <c r="T34" s="130"/>
      <c r="U34" s="83">
        <f t="shared" si="10"/>
        <v>-690</v>
      </c>
      <c r="V34" s="75"/>
    </row>
    <row r="35" ht="15.75" customHeight="1">
      <c r="A35" s="74"/>
      <c r="B35" s="75"/>
      <c r="C35" s="75"/>
      <c r="D35" s="75"/>
      <c r="E35" s="75"/>
      <c r="F35" s="84" t="str">
        <f>IFERROR(__xludf.DUMMYFUNCTION("""COMPUTED_VALUE"""),"Disciplinary")</f>
        <v>Disciplinary</v>
      </c>
      <c r="G35" s="128">
        <v>0.0</v>
      </c>
      <c r="H35" s="128">
        <v>0.0</v>
      </c>
      <c r="I35" s="128">
        <v>0.0</v>
      </c>
      <c r="J35" s="128">
        <v>-36.0</v>
      </c>
      <c r="K35" s="128">
        <v>-104.0</v>
      </c>
      <c r="L35" s="128">
        <v>0.0</v>
      </c>
      <c r="M35" s="128">
        <v>-95.0</v>
      </c>
      <c r="N35" s="128">
        <v>-12.0</v>
      </c>
      <c r="O35" s="128">
        <v>0.0</v>
      </c>
      <c r="P35" s="128">
        <v>0.0</v>
      </c>
      <c r="Q35" s="128">
        <v>-12.0</v>
      </c>
      <c r="R35" s="128">
        <v>-72.0</v>
      </c>
      <c r="S35" s="85">
        <f t="shared" si="9"/>
        <v>-331</v>
      </c>
      <c r="T35" s="130"/>
      <c r="U35" s="83">
        <f t="shared" si="10"/>
        <v>-331</v>
      </c>
      <c r="V35" s="75"/>
    </row>
    <row r="36" ht="15.75" customHeight="1">
      <c r="A36" s="74"/>
      <c r="B36" s="75"/>
      <c r="C36" s="75"/>
      <c r="D36" s="75"/>
      <c r="E36" s="75"/>
      <c r="F36" s="84" t="str">
        <f>IFERROR(__xludf.DUMMYFUNCTION("""COMPUTED_VALUE"""),"Trophies")</f>
        <v>Trophies</v>
      </c>
      <c r="G36" s="128">
        <v>0.0</v>
      </c>
      <c r="H36" s="128">
        <v>0.0</v>
      </c>
      <c r="I36" s="128">
        <v>0.0</v>
      </c>
      <c r="J36" s="128">
        <v>-158.6</v>
      </c>
      <c r="K36" s="128">
        <v>-113.29</v>
      </c>
      <c r="L36" s="128">
        <v>0.0</v>
      </c>
      <c r="M36" s="128">
        <v>0.0</v>
      </c>
      <c r="N36" s="128">
        <v>0.0</v>
      </c>
      <c r="O36" s="128">
        <v>0.0</v>
      </c>
      <c r="P36" s="128">
        <v>0.0</v>
      </c>
      <c r="Q36" s="128">
        <v>0.0</v>
      </c>
      <c r="R36" s="128">
        <v>-1856.04</v>
      </c>
      <c r="S36" s="85">
        <f t="shared" si="9"/>
        <v>-2127.93</v>
      </c>
      <c r="T36" s="130"/>
      <c r="U36" s="83">
        <f t="shared" si="10"/>
        <v>-2127.93</v>
      </c>
      <c r="V36" s="75"/>
    </row>
    <row r="37" ht="15.75" customHeight="1">
      <c r="A37" s="74"/>
      <c r="B37" s="75"/>
      <c r="C37" s="75"/>
      <c r="D37" s="75"/>
      <c r="E37" s="75"/>
      <c r="F37" s="84" t="str">
        <f>IFERROR(__xludf.DUMMYFUNCTION("""COMPUTED_VALUE"""),"Xmas Gifts")</f>
        <v>Xmas Gifts</v>
      </c>
      <c r="G37" s="128">
        <v>0.0</v>
      </c>
      <c r="H37" s="128">
        <v>0.0</v>
      </c>
      <c r="I37" s="128">
        <v>0.0</v>
      </c>
      <c r="J37" s="128">
        <v>0.0</v>
      </c>
      <c r="K37" s="128">
        <v>0.0</v>
      </c>
      <c r="L37" s="128">
        <v>0.0</v>
      </c>
      <c r="M37" s="128">
        <v>-158.3</v>
      </c>
      <c r="N37" s="128">
        <v>0.0</v>
      </c>
      <c r="O37" s="128">
        <v>0.0</v>
      </c>
      <c r="P37" s="128">
        <v>0.0</v>
      </c>
      <c r="Q37" s="128">
        <v>0.0</v>
      </c>
      <c r="R37" s="128">
        <v>0.0</v>
      </c>
      <c r="S37" s="85">
        <f t="shared" si="9"/>
        <v>-158.3</v>
      </c>
      <c r="T37" s="130"/>
      <c r="U37" s="83">
        <f t="shared" si="10"/>
        <v>-158.3</v>
      </c>
      <c r="V37" s="75"/>
    </row>
    <row r="38" ht="15.75" customHeight="1">
      <c r="A38" s="74"/>
      <c r="B38" s="75"/>
      <c r="C38" s="75"/>
      <c r="D38" s="75"/>
      <c r="E38" s="75"/>
      <c r="F38" s="84" t="str">
        <f>IFERROR(__xludf.DUMMYFUNCTION("""COMPUTED_VALUE"""),"Kit stock")</f>
        <v>Kit stock</v>
      </c>
      <c r="G38" s="128">
        <v>0.0</v>
      </c>
      <c r="H38" s="128">
        <v>0.0</v>
      </c>
      <c r="I38" s="128">
        <v>0.0</v>
      </c>
      <c r="J38" s="128">
        <v>0.0</v>
      </c>
      <c r="K38" s="128">
        <v>0.0</v>
      </c>
      <c r="L38" s="128">
        <v>0.0</v>
      </c>
      <c r="M38" s="128">
        <v>-95.0</v>
      </c>
      <c r="N38" s="128">
        <v>-47.5</v>
      </c>
      <c r="O38" s="128">
        <v>-538.4</v>
      </c>
      <c r="P38" s="128">
        <v>-120.0</v>
      </c>
      <c r="Q38" s="128">
        <v>-96.7</v>
      </c>
      <c r="R38" s="128">
        <v>-96.15</v>
      </c>
      <c r="S38" s="85">
        <f t="shared" si="9"/>
        <v>-993.75</v>
      </c>
      <c r="T38" s="130"/>
      <c r="U38" s="83">
        <f t="shared" si="10"/>
        <v>-993.75</v>
      </c>
      <c r="V38" s="75"/>
    </row>
    <row r="39" ht="15.75" customHeight="1">
      <c r="A39" s="74"/>
      <c r="B39" s="75"/>
      <c r="C39" s="75"/>
      <c r="D39" s="75"/>
      <c r="E39" s="75"/>
      <c r="F39" s="84" t="str">
        <f>IFERROR(__xludf.DUMMYFUNCTION("""COMPUTED_VALUE"""),"Covid Expenses")</f>
        <v>Covid Expenses</v>
      </c>
      <c r="G39" s="128">
        <v>-1099.71</v>
      </c>
      <c r="H39" s="128">
        <v>0.0</v>
      </c>
      <c r="I39" s="128">
        <v>0.0</v>
      </c>
      <c r="J39" s="128">
        <v>-68.4</v>
      </c>
      <c r="K39" s="128">
        <v>0.0</v>
      </c>
      <c r="L39" s="128">
        <v>0.0</v>
      </c>
      <c r="M39" s="128">
        <v>0.0</v>
      </c>
      <c r="N39" s="128">
        <v>0.0</v>
      </c>
      <c r="O39" s="128">
        <v>0.0</v>
      </c>
      <c r="P39" s="128">
        <v>0.0</v>
      </c>
      <c r="Q39" s="128">
        <v>0.0</v>
      </c>
      <c r="R39" s="128">
        <v>0.0</v>
      </c>
      <c r="S39" s="85">
        <f t="shared" si="9"/>
        <v>-1168.11</v>
      </c>
      <c r="T39" s="130"/>
      <c r="U39" s="83">
        <f t="shared" si="10"/>
        <v>-1168.11</v>
      </c>
      <c r="V39" s="75"/>
    </row>
    <row r="40" ht="15.75" customHeight="1">
      <c r="A40" s="74"/>
      <c r="B40" s="75"/>
      <c r="C40" s="75"/>
      <c r="D40" s="75"/>
      <c r="E40" s="75"/>
      <c r="F40" s="84" t="str">
        <f>IFERROR(__xludf.DUMMYFUNCTION("""COMPUTED_VALUE"""),"Insurance")</f>
        <v>Insurance</v>
      </c>
      <c r="G40" s="128">
        <v>-415.32</v>
      </c>
      <c r="H40" s="128">
        <v>0.0</v>
      </c>
      <c r="I40" s="128">
        <v>0.0</v>
      </c>
      <c r="J40" s="128">
        <v>0.0</v>
      </c>
      <c r="K40" s="128">
        <v>-50.63</v>
      </c>
      <c r="L40" s="128">
        <v>0.0</v>
      </c>
      <c r="M40" s="128">
        <v>0.0</v>
      </c>
      <c r="N40" s="128">
        <v>0.0</v>
      </c>
      <c r="O40" s="128">
        <v>0.0</v>
      </c>
      <c r="P40" s="128">
        <v>0.0</v>
      </c>
      <c r="Q40" s="128">
        <v>-289.6</v>
      </c>
      <c r="R40" s="128">
        <v>0.0</v>
      </c>
      <c r="S40" s="85">
        <f t="shared" si="9"/>
        <v>-755.55</v>
      </c>
      <c r="T40" s="130"/>
      <c r="U40" s="83">
        <f t="shared" si="10"/>
        <v>-755.55</v>
      </c>
      <c r="V40" s="75"/>
    </row>
    <row r="41" ht="15.75" customHeight="1">
      <c r="A41" s="74"/>
      <c r="B41" s="75"/>
      <c r="C41" s="75"/>
      <c r="D41" s="75"/>
      <c r="E41" s="75"/>
      <c r="F41" s="84" t="str">
        <f>IFERROR(__xludf.DUMMYFUNCTION("""COMPUTED_VALUE"""),"Travel")</f>
        <v>Travel</v>
      </c>
      <c r="G41" s="128">
        <v>0.0</v>
      </c>
      <c r="H41" s="128">
        <v>-1914.76</v>
      </c>
      <c r="I41" s="128">
        <v>0.0</v>
      </c>
      <c r="J41" s="128">
        <v>0.0</v>
      </c>
      <c r="K41" s="128">
        <v>0.0</v>
      </c>
      <c r="L41" s="128">
        <v>0.0</v>
      </c>
      <c r="M41" s="128">
        <v>0.0</v>
      </c>
      <c r="N41" s="128">
        <v>0.0</v>
      </c>
      <c r="O41" s="128">
        <v>0.0</v>
      </c>
      <c r="P41" s="128">
        <v>0.0</v>
      </c>
      <c r="Q41" s="128">
        <v>0.0</v>
      </c>
      <c r="R41" s="128">
        <v>0.0</v>
      </c>
      <c r="S41" s="85">
        <f t="shared" si="9"/>
        <v>-1914.76</v>
      </c>
      <c r="T41" s="130"/>
      <c r="U41" s="83">
        <f t="shared" si="10"/>
        <v>-1914.76</v>
      </c>
      <c r="V41" s="75"/>
    </row>
    <row r="42" ht="15.75" customHeight="1">
      <c r="A42" s="74"/>
      <c r="B42" s="75"/>
      <c r="C42" s="75"/>
      <c r="D42" s="75"/>
      <c r="E42" s="75"/>
      <c r="F42" s="84" t="str">
        <f>IFERROR(__xludf.DUMMYFUNCTION("""COMPUTED_VALUE"""),"Goodwill payment")</f>
        <v>Goodwill payment</v>
      </c>
      <c r="G42" s="128">
        <v>0.0</v>
      </c>
      <c r="H42" s="128">
        <v>0.0</v>
      </c>
      <c r="I42" s="128">
        <v>-28.98</v>
      </c>
      <c r="J42" s="128">
        <v>0.0</v>
      </c>
      <c r="K42" s="128">
        <v>0.0</v>
      </c>
      <c r="L42" s="128">
        <v>0.0</v>
      </c>
      <c r="M42" s="128">
        <v>0.0</v>
      </c>
      <c r="N42" s="128">
        <v>0.0</v>
      </c>
      <c r="O42" s="128">
        <v>0.0</v>
      </c>
      <c r="P42" s="128">
        <v>-50.0</v>
      </c>
      <c r="Q42" s="128">
        <v>-20.0</v>
      </c>
      <c r="R42" s="128">
        <v>-300.0</v>
      </c>
      <c r="S42" s="85">
        <f t="shared" si="9"/>
        <v>-398.98</v>
      </c>
      <c r="T42" s="130"/>
      <c r="U42" s="83"/>
      <c r="V42" s="75"/>
    </row>
    <row r="43" ht="15.75" customHeight="1">
      <c r="A43" s="74"/>
      <c r="B43" s="75"/>
      <c r="C43" s="75"/>
      <c r="D43" s="75"/>
      <c r="E43" s="75"/>
      <c r="F43" s="84" t="str">
        <f>IFERROR(__xludf.DUMMYFUNCTION("""COMPUTED_VALUE"""),"Transaction Fees")</f>
        <v>Transaction Fees</v>
      </c>
      <c r="G43" s="128">
        <v>0.0</v>
      </c>
      <c r="H43" s="128">
        <v>0.0</v>
      </c>
      <c r="I43" s="128">
        <v>0.0</v>
      </c>
      <c r="J43" s="128">
        <v>0.0</v>
      </c>
      <c r="K43" s="128">
        <v>0.0</v>
      </c>
      <c r="L43" s="128">
        <v>0.0</v>
      </c>
      <c r="M43" s="128">
        <v>0.0</v>
      </c>
      <c r="N43" s="128">
        <v>0.0</v>
      </c>
      <c r="O43" s="128">
        <v>0.0</v>
      </c>
      <c r="P43" s="128">
        <v>0.0</v>
      </c>
      <c r="Q43" s="128">
        <v>0.0</v>
      </c>
      <c r="R43" s="128">
        <v>0.0</v>
      </c>
      <c r="S43" s="85">
        <f t="shared" si="9"/>
        <v>0</v>
      </c>
      <c r="T43" s="130"/>
      <c r="U43" s="83"/>
      <c r="V43" s="75"/>
    </row>
    <row r="44" ht="15.75" customHeight="1">
      <c r="A44" s="74"/>
      <c r="B44" s="75"/>
      <c r="C44" s="75"/>
      <c r="D44" s="75"/>
      <c r="E44" s="75"/>
      <c r="F44" s="84" t="str">
        <f>IFERROR(__xludf.DUMMYFUNCTION("""COMPUTED_VALUE"""),"Refund")</f>
        <v>Refund</v>
      </c>
      <c r="G44" s="128">
        <v>0.0</v>
      </c>
      <c r="H44" s="128">
        <v>0.0</v>
      </c>
      <c r="I44" s="128">
        <v>-90.0</v>
      </c>
      <c r="J44" s="128">
        <v>-40.0</v>
      </c>
      <c r="K44" s="128">
        <v>-80.0</v>
      </c>
      <c r="L44" s="128">
        <v>0.0</v>
      </c>
      <c r="M44" s="128">
        <v>-20.0</v>
      </c>
      <c r="N44" s="128">
        <v>0.0</v>
      </c>
      <c r="O44" s="128">
        <v>0.0</v>
      </c>
      <c r="P44" s="128">
        <v>0.0</v>
      </c>
      <c r="Q44" s="128">
        <v>0.0</v>
      </c>
      <c r="R44" s="128">
        <v>-40.0</v>
      </c>
      <c r="S44" s="85">
        <f t="shared" si="9"/>
        <v>-270</v>
      </c>
      <c r="T44" s="130"/>
      <c r="U44" s="83">
        <f t="shared" ref="U44:U45" si="11">S44*(1+T44)</f>
        <v>-270</v>
      </c>
      <c r="V44" s="75"/>
    </row>
    <row r="45" ht="15.75" customHeight="1">
      <c r="A45" s="74"/>
      <c r="B45" s="75"/>
      <c r="C45" s="75"/>
      <c r="D45" s="75"/>
      <c r="E45" s="75"/>
      <c r="F45" s="131" t="str">
        <f>IFERROR(__xludf.DUMMYFUNCTION("""COMPUTED_VALUE"""),"Coaching")</f>
        <v>Coaching</v>
      </c>
      <c r="G45" s="132">
        <v>0.0</v>
      </c>
      <c r="H45" s="132">
        <v>0.0</v>
      </c>
      <c r="I45" s="132">
        <v>0.0</v>
      </c>
      <c r="J45" s="132">
        <v>0.0</v>
      </c>
      <c r="K45" s="132">
        <v>0.0</v>
      </c>
      <c r="L45" s="132">
        <v>0.0</v>
      </c>
      <c r="M45" s="132">
        <v>0.0</v>
      </c>
      <c r="N45" s="132">
        <v>0.0</v>
      </c>
      <c r="O45" s="132">
        <v>0.0</v>
      </c>
      <c r="P45" s="132">
        <v>0.0</v>
      </c>
      <c r="Q45" s="132">
        <v>0.0</v>
      </c>
      <c r="R45" s="132">
        <v>-300.0</v>
      </c>
      <c r="S45" s="101">
        <f t="shared" si="9"/>
        <v>-300</v>
      </c>
      <c r="T45" s="133"/>
      <c r="U45" s="88">
        <f t="shared" si="11"/>
        <v>-300</v>
      </c>
      <c r="V45" s="75"/>
    </row>
    <row r="46" ht="15.75" customHeight="1">
      <c r="A46" s="134"/>
      <c r="B46" s="135"/>
      <c r="C46" s="135"/>
      <c r="D46" s="135"/>
      <c r="E46" s="135"/>
      <c r="F46" s="77" t="s">
        <v>23</v>
      </c>
      <c r="G46" s="136">
        <f t="shared" ref="G46:S46" si="12">SUM(G25:G45)</f>
        <v>-1515.03</v>
      </c>
      <c r="H46" s="136">
        <f t="shared" si="12"/>
        <v>-6249.45</v>
      </c>
      <c r="I46" s="136">
        <f t="shared" si="12"/>
        <v>-4266.42</v>
      </c>
      <c r="J46" s="136">
        <f t="shared" si="12"/>
        <v>-7410.37</v>
      </c>
      <c r="K46" s="136">
        <f t="shared" si="12"/>
        <v>-6034.72</v>
      </c>
      <c r="L46" s="136">
        <f t="shared" si="12"/>
        <v>-1398.43</v>
      </c>
      <c r="M46" s="136">
        <f t="shared" si="12"/>
        <v>-9507.15</v>
      </c>
      <c r="N46" s="136">
        <f t="shared" si="12"/>
        <v>-912.46</v>
      </c>
      <c r="O46" s="136">
        <f t="shared" si="12"/>
        <v>-871.3</v>
      </c>
      <c r="P46" s="136">
        <f t="shared" si="12"/>
        <v>-1684.54</v>
      </c>
      <c r="Q46" s="136">
        <f t="shared" si="12"/>
        <v>-8235.55</v>
      </c>
      <c r="R46" s="136">
        <f t="shared" si="12"/>
        <v>-6366.58</v>
      </c>
      <c r="S46" s="137">
        <f t="shared" si="12"/>
        <v>-54452</v>
      </c>
      <c r="T46" s="138"/>
      <c r="U46" s="110">
        <f>SUM(U25:U45)</f>
        <v>-33686.34</v>
      </c>
      <c r="V46" s="139"/>
    </row>
    <row r="47" ht="15.75" customHeight="1">
      <c r="A47" s="74"/>
      <c r="B47" s="75"/>
      <c r="C47" s="75"/>
      <c r="D47" s="75"/>
      <c r="E47" s="75"/>
      <c r="F47" s="75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40"/>
      <c r="R47" s="140"/>
      <c r="S47" s="81"/>
      <c r="T47" s="82"/>
      <c r="U47" s="83"/>
      <c r="V47" s="75"/>
    </row>
    <row r="48" ht="15.75" customHeight="1">
      <c r="A48" s="141"/>
      <c r="B48" s="139"/>
      <c r="C48" s="139"/>
      <c r="D48" s="139"/>
      <c r="E48" s="135"/>
      <c r="F48" s="77" t="s">
        <v>24</v>
      </c>
      <c r="G48" s="136">
        <f t="shared" ref="G48:R48" si="13">G23+G46</f>
        <v>-1514.84</v>
      </c>
      <c r="H48" s="136">
        <f t="shared" si="13"/>
        <v>-2302.78</v>
      </c>
      <c r="I48" s="136">
        <f t="shared" si="13"/>
        <v>541.23</v>
      </c>
      <c r="J48" s="136">
        <f t="shared" si="13"/>
        <v>-964.24</v>
      </c>
      <c r="K48" s="136">
        <f t="shared" si="13"/>
        <v>280.42</v>
      </c>
      <c r="L48" s="136">
        <f t="shared" si="13"/>
        <v>3577.72</v>
      </c>
      <c r="M48" s="136">
        <f t="shared" si="13"/>
        <v>-3625.7</v>
      </c>
      <c r="N48" s="136">
        <f t="shared" si="13"/>
        <v>4603.81</v>
      </c>
      <c r="O48" s="136">
        <f t="shared" si="13"/>
        <v>-480.11</v>
      </c>
      <c r="P48" s="136">
        <f t="shared" si="13"/>
        <v>5729.58</v>
      </c>
      <c r="Q48" s="136">
        <f t="shared" si="13"/>
        <v>-6589.89</v>
      </c>
      <c r="R48" s="136">
        <f t="shared" si="13"/>
        <v>289.12</v>
      </c>
      <c r="S48" s="142">
        <f>SUM(G48:R48)</f>
        <v>-455.68</v>
      </c>
      <c r="T48" s="143"/>
      <c r="U48" s="110">
        <f>U23-U46</f>
        <v>40223.34</v>
      </c>
      <c r="V48" s="139"/>
    </row>
    <row r="49" ht="15.75" customHeight="1">
      <c r="A49" s="74"/>
      <c r="B49" s="75"/>
      <c r="C49" s="75"/>
      <c r="D49" s="75"/>
      <c r="E49" s="144"/>
      <c r="G49" s="140"/>
      <c r="H49" s="145"/>
      <c r="I49" s="140"/>
      <c r="J49" s="140"/>
      <c r="K49" s="140"/>
      <c r="L49" s="140"/>
      <c r="M49" s="140"/>
      <c r="N49" s="140"/>
      <c r="O49" s="140"/>
      <c r="P49" s="140"/>
      <c r="Q49" s="140"/>
      <c r="R49" s="140"/>
      <c r="S49" s="81"/>
      <c r="T49" s="82"/>
      <c r="U49" s="83"/>
      <c r="V49" s="75"/>
    </row>
    <row r="50" ht="15.75" customHeight="1">
      <c r="A50" s="74"/>
      <c r="B50" s="75"/>
      <c r="C50" s="75"/>
      <c r="D50" s="75"/>
      <c r="E50" s="144"/>
      <c r="G50" s="145"/>
      <c r="H50" s="140"/>
      <c r="I50" s="140"/>
      <c r="J50" s="140"/>
      <c r="K50" s="140"/>
      <c r="L50" s="140"/>
      <c r="M50" s="140"/>
      <c r="N50" s="140"/>
      <c r="O50" s="140"/>
      <c r="P50" s="140"/>
      <c r="Q50" s="140"/>
      <c r="R50" s="140"/>
      <c r="S50" s="146"/>
      <c r="T50" s="82"/>
      <c r="U50" s="83"/>
      <c r="V50" s="75"/>
    </row>
    <row r="51" ht="19.5" customHeight="1">
      <c r="A51" s="74"/>
      <c r="B51" s="75"/>
      <c r="C51" s="75"/>
      <c r="D51" s="75"/>
      <c r="E51" s="75"/>
      <c r="F51" s="75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81"/>
      <c r="T51" s="82"/>
      <c r="U51" s="83"/>
      <c r="V51" s="75"/>
    </row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G2:R2"/>
    <mergeCell ref="C3:D3"/>
    <mergeCell ref="E5:F5"/>
    <mergeCell ref="E17:F17"/>
    <mergeCell ref="D18:E22"/>
    <mergeCell ref="E49:F49"/>
    <mergeCell ref="E50:F50"/>
  </mergeCells>
  <dataValidations>
    <dataValidation type="list" allowBlank="1" sqref="F3">
      <formula1>"January,February,March,April,May,June,July,August,September,October,November,December"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8.29"/>
    <col customWidth="1" min="2" max="2" width="17.86"/>
    <col customWidth="1" min="3" max="3" width="30.14"/>
    <col customWidth="1" min="4" max="6" width="14.43"/>
  </cols>
  <sheetData>
    <row r="1" ht="15.75" customHeight="1">
      <c r="A1" s="147" t="s">
        <v>25</v>
      </c>
      <c r="B1" s="148"/>
      <c r="C1" s="147"/>
      <c r="D1" s="149" t="s">
        <v>26</v>
      </c>
      <c r="E1" s="150"/>
      <c r="F1" s="151"/>
      <c r="G1" s="152"/>
      <c r="H1" s="152"/>
      <c r="I1" s="152"/>
    </row>
    <row r="2" ht="15.75" customHeight="1">
      <c r="A2" s="153" t="s">
        <v>27</v>
      </c>
      <c r="B2" s="154">
        <f>E10</f>
        <v>25456.9</v>
      </c>
      <c r="C2" s="155"/>
      <c r="D2" s="156"/>
      <c r="E2" s="157"/>
      <c r="F2" s="157"/>
      <c r="G2" s="152"/>
      <c r="H2" s="152"/>
      <c r="I2" s="152"/>
    </row>
    <row r="3" ht="15.75" customHeight="1">
      <c r="A3" s="153"/>
      <c r="B3" s="154"/>
      <c r="C3" s="155"/>
      <c r="D3" s="156"/>
      <c r="E3" s="157"/>
      <c r="F3" s="157"/>
      <c r="G3" s="152"/>
      <c r="H3" s="152"/>
      <c r="I3" s="152"/>
    </row>
    <row r="4" ht="15.75" customHeight="1">
      <c r="A4" s="158" t="s">
        <v>28</v>
      </c>
      <c r="B4" s="159"/>
      <c r="C4" s="152"/>
      <c r="D4" s="160" t="s">
        <v>28</v>
      </c>
      <c r="E4" s="161"/>
      <c r="F4" s="157"/>
      <c r="G4" s="152"/>
      <c r="H4" s="162"/>
      <c r="I4" s="152"/>
      <c r="J4" s="152"/>
      <c r="K4" s="163"/>
      <c r="L4" s="152"/>
    </row>
    <row r="5" ht="15.75" customHeight="1">
      <c r="A5" s="152" t="s">
        <v>29</v>
      </c>
      <c r="B5" s="162">
        <v>0.0</v>
      </c>
      <c r="C5" s="152"/>
      <c r="D5" s="157" t="s">
        <v>29</v>
      </c>
      <c r="E5" s="164">
        <v>581.68</v>
      </c>
      <c r="F5" s="157"/>
      <c r="G5" s="152"/>
      <c r="H5" s="163"/>
      <c r="I5" s="152"/>
    </row>
    <row r="6" ht="15.75" customHeight="1">
      <c r="A6" s="152" t="s">
        <v>30</v>
      </c>
      <c r="B6" s="162">
        <f>SUM(325+37)</f>
        <v>362</v>
      </c>
      <c r="C6" s="152" t="s">
        <v>31</v>
      </c>
      <c r="D6" s="157" t="s">
        <v>30</v>
      </c>
      <c r="E6" s="164">
        <v>415.0</v>
      </c>
      <c r="F6" s="157"/>
      <c r="G6" s="152"/>
      <c r="H6" s="152"/>
      <c r="I6" s="152"/>
    </row>
    <row r="7" ht="15.75" customHeight="1">
      <c r="A7" s="152" t="s">
        <v>32</v>
      </c>
      <c r="B7" s="162">
        <v>21452.88</v>
      </c>
      <c r="C7" s="152"/>
      <c r="D7" s="157" t="s">
        <v>32</v>
      </c>
      <c r="E7" s="164">
        <v>21019.41</v>
      </c>
      <c r="F7" s="157"/>
      <c r="G7" s="152"/>
      <c r="H7" s="152"/>
      <c r="I7" s="152"/>
    </row>
    <row r="8" ht="15.75" customHeight="1">
      <c r="A8" s="152" t="s">
        <v>33</v>
      </c>
      <c r="B8" s="162">
        <v>578.0</v>
      </c>
      <c r="C8" s="152"/>
      <c r="D8" s="157" t="s">
        <v>33</v>
      </c>
      <c r="E8" s="164">
        <v>997.14</v>
      </c>
      <c r="F8" s="157"/>
      <c r="G8" s="152"/>
      <c r="H8" s="152"/>
      <c r="I8" s="152"/>
    </row>
    <row r="9" ht="15.75" customHeight="1">
      <c r="A9" s="152" t="s">
        <v>34</v>
      </c>
      <c r="B9" s="162">
        <v>2608.34</v>
      </c>
      <c r="C9" s="152"/>
      <c r="D9" s="157" t="s">
        <v>34</v>
      </c>
      <c r="E9" s="164">
        <v>2443.67</v>
      </c>
      <c r="F9" s="157"/>
      <c r="G9" s="152"/>
      <c r="H9" s="165"/>
      <c r="I9" s="152"/>
    </row>
    <row r="10" ht="15.75" customHeight="1">
      <c r="A10" s="166" t="s">
        <v>35</v>
      </c>
      <c r="B10" s="167">
        <f>SUM(B5:B9)</f>
        <v>25001.22</v>
      </c>
      <c r="C10" s="155"/>
      <c r="D10" s="168" t="s">
        <v>35</v>
      </c>
      <c r="E10" s="169">
        <f>SUM(E5:E9)</f>
        <v>25456.9</v>
      </c>
      <c r="F10" s="157"/>
      <c r="G10" s="152"/>
      <c r="H10" s="152"/>
      <c r="I10" s="152"/>
    </row>
    <row r="11" ht="15.75" customHeight="1">
      <c r="A11" s="155" t="s">
        <v>36</v>
      </c>
      <c r="B11" s="170">
        <f>SUM(B10-E10)</f>
        <v>-455.68</v>
      </c>
      <c r="C11" s="152"/>
      <c r="D11" s="157"/>
      <c r="E11" s="157"/>
      <c r="F11" s="157"/>
      <c r="G11" s="152"/>
      <c r="H11" s="152"/>
      <c r="I11" s="152"/>
    </row>
    <row r="12" ht="15.75" customHeight="1">
      <c r="A12" s="155"/>
      <c r="B12" s="170"/>
      <c r="C12" s="152"/>
      <c r="D12" s="157"/>
      <c r="E12" s="157"/>
      <c r="F12" s="157"/>
      <c r="G12" s="152"/>
      <c r="H12" s="152"/>
      <c r="I12" s="152"/>
    </row>
    <row r="13" ht="15.75" customHeight="1">
      <c r="A13" s="147" t="s">
        <v>37</v>
      </c>
      <c r="B13" s="148"/>
      <c r="C13" s="152" t="s">
        <v>38</v>
      </c>
      <c r="D13" s="149" t="s">
        <v>37</v>
      </c>
      <c r="E13" s="171"/>
      <c r="F13" s="157"/>
      <c r="G13" s="155"/>
      <c r="H13" s="152"/>
      <c r="I13" s="152"/>
    </row>
    <row r="14" ht="15.75" customHeight="1">
      <c r="A14" s="152" t="s">
        <v>39</v>
      </c>
      <c r="B14" s="163">
        <v>900.0</v>
      </c>
      <c r="C14" s="152"/>
      <c r="D14" s="157" t="s">
        <v>39</v>
      </c>
      <c r="E14" s="172">
        <v>1000.0</v>
      </c>
      <c r="F14" s="157"/>
      <c r="G14" s="152"/>
      <c r="H14" s="163"/>
      <c r="I14" s="152"/>
    </row>
    <row r="15" ht="15.75" customHeight="1">
      <c r="A15" s="152" t="s">
        <v>40</v>
      </c>
      <c r="B15" s="163">
        <v>270.0</v>
      </c>
      <c r="C15" s="152"/>
      <c r="D15" s="157" t="s">
        <v>40</v>
      </c>
      <c r="E15" s="172">
        <v>300.0</v>
      </c>
      <c r="F15" s="157"/>
      <c r="G15" s="152"/>
      <c r="H15" s="152"/>
      <c r="I15" s="152"/>
    </row>
    <row r="16" ht="15.75" customHeight="1">
      <c r="A16" s="152" t="s">
        <v>41</v>
      </c>
      <c r="B16" s="163">
        <v>2750.0</v>
      </c>
      <c r="C16" s="152"/>
      <c r="D16" s="157" t="s">
        <v>42</v>
      </c>
      <c r="E16" s="172">
        <v>2500.0</v>
      </c>
      <c r="F16" s="157"/>
      <c r="G16" s="152"/>
      <c r="H16" s="152"/>
      <c r="I16" s="152"/>
    </row>
    <row r="17" ht="15.75" customHeight="1">
      <c r="A17" s="152" t="s">
        <v>43</v>
      </c>
      <c r="B17" s="163">
        <v>950.0</v>
      </c>
      <c r="C17" s="152"/>
      <c r="D17" s="157" t="s">
        <v>44</v>
      </c>
      <c r="E17" s="172">
        <v>500.0</v>
      </c>
      <c r="F17" s="157"/>
      <c r="G17" s="152"/>
      <c r="H17" s="152"/>
      <c r="I17" s="152"/>
    </row>
    <row r="18" ht="15.75" customHeight="1">
      <c r="A18" s="152" t="s">
        <v>45</v>
      </c>
      <c r="B18" s="163">
        <v>5000.0</v>
      </c>
      <c r="C18" s="152"/>
      <c r="D18" s="157" t="s">
        <v>45</v>
      </c>
      <c r="E18" s="172">
        <v>5000.0</v>
      </c>
      <c r="F18" s="157"/>
      <c r="G18" s="152"/>
      <c r="H18" s="152"/>
      <c r="I18" s="152"/>
    </row>
    <row r="19" ht="15.75" customHeight="1">
      <c r="A19" s="152"/>
      <c r="B19" s="173"/>
      <c r="C19" s="152"/>
      <c r="D19" s="157"/>
      <c r="E19" s="174"/>
      <c r="F19" s="157"/>
      <c r="G19" s="152"/>
      <c r="H19" s="152"/>
      <c r="I19" s="152"/>
    </row>
    <row r="20" ht="15.75" customHeight="1">
      <c r="A20" s="152"/>
      <c r="B20" s="173"/>
      <c r="C20" s="152"/>
      <c r="D20" s="157"/>
      <c r="E20" s="174"/>
      <c r="F20" s="157"/>
      <c r="G20" s="152"/>
      <c r="H20" s="152"/>
      <c r="I20" s="152"/>
    </row>
    <row r="21" ht="15.75" customHeight="1">
      <c r="A21" s="155" t="s">
        <v>46</v>
      </c>
      <c r="B21" s="175">
        <f>SUM(B14:B18)</f>
        <v>9870</v>
      </c>
      <c r="C21" s="155"/>
      <c r="D21" s="156" t="s">
        <v>35</v>
      </c>
      <c r="E21" s="176">
        <f>SUM(E14:E18)</f>
        <v>9300</v>
      </c>
      <c r="F21" s="157"/>
      <c r="G21" s="155"/>
      <c r="H21" s="163"/>
      <c r="I21" s="152"/>
    </row>
    <row r="22" ht="15.75" customHeight="1">
      <c r="A22" s="152"/>
      <c r="B22" s="152"/>
      <c r="C22" s="152"/>
      <c r="D22" s="157"/>
      <c r="E22" s="157"/>
      <c r="F22" s="157"/>
      <c r="G22" s="152"/>
      <c r="H22" s="152"/>
      <c r="I22" s="152"/>
    </row>
    <row r="23" ht="15.75" customHeight="1">
      <c r="A23" s="152"/>
      <c r="B23" s="152"/>
      <c r="C23" s="152"/>
      <c r="D23" s="157"/>
      <c r="E23" s="157"/>
      <c r="F23" s="157"/>
      <c r="G23" s="152"/>
      <c r="H23" s="152"/>
      <c r="I23" s="152"/>
    </row>
    <row r="24" ht="15.75" customHeight="1">
      <c r="A24" s="155" t="s">
        <v>47</v>
      </c>
      <c r="B24" s="177">
        <f>SUM(B10+B21)</f>
        <v>34871.22</v>
      </c>
      <c r="C24" s="152"/>
      <c r="D24" s="156" t="s">
        <v>47</v>
      </c>
      <c r="E24" s="178">
        <f>SUM(E10+E21)</f>
        <v>34756.9</v>
      </c>
      <c r="F24" s="157"/>
      <c r="G24" s="152"/>
      <c r="H24" s="152"/>
      <c r="I24" s="152"/>
    </row>
    <row r="25" ht="15.75" customHeight="1">
      <c r="A25" s="152"/>
      <c r="B25" s="152"/>
      <c r="C25" s="152"/>
      <c r="D25" s="152"/>
      <c r="E25" s="152"/>
      <c r="F25" s="152"/>
      <c r="G25" s="152"/>
      <c r="H25" s="152"/>
      <c r="I25" s="152"/>
    </row>
    <row r="26" ht="15.75" customHeight="1">
      <c r="A26" s="152"/>
      <c r="B26" s="152"/>
      <c r="C26" s="152"/>
      <c r="D26" s="152"/>
      <c r="E26" s="152"/>
      <c r="F26" s="152"/>
      <c r="G26" s="152"/>
      <c r="H26" s="152"/>
      <c r="I26" s="152"/>
    </row>
    <row r="27" ht="15.75" customHeight="1">
      <c r="A27" s="152"/>
      <c r="B27" s="152"/>
      <c r="C27" s="152"/>
      <c r="D27" s="148" t="s">
        <v>48</v>
      </c>
      <c r="E27" s="148"/>
      <c r="F27" s="148"/>
      <c r="G27" s="152"/>
      <c r="H27" s="152"/>
      <c r="I27" s="152"/>
    </row>
    <row r="28" ht="15.75" customHeight="1">
      <c r="A28" s="152"/>
      <c r="B28" s="152"/>
      <c r="C28" s="152"/>
      <c r="D28" s="152"/>
      <c r="E28" s="152"/>
      <c r="F28" s="152"/>
      <c r="G28" s="152"/>
      <c r="H28" s="152"/>
      <c r="I28" s="152"/>
    </row>
    <row r="29" ht="15.75" customHeight="1">
      <c r="A29" s="152"/>
      <c r="B29" s="152"/>
      <c r="C29" s="152"/>
      <c r="D29" s="152"/>
      <c r="E29" s="152"/>
      <c r="F29" s="152"/>
      <c r="G29" s="152"/>
      <c r="H29" s="152"/>
      <c r="I29" s="152"/>
    </row>
    <row r="30" ht="15.75" customHeight="1">
      <c r="A30" s="152"/>
      <c r="B30" s="152"/>
      <c r="C30" s="152"/>
      <c r="D30" s="152"/>
      <c r="E30" s="152"/>
      <c r="F30" s="152"/>
      <c r="G30" s="152"/>
      <c r="H30" s="152"/>
      <c r="I30" s="152"/>
    </row>
    <row r="31" ht="15.75" customHeight="1">
      <c r="A31" s="152"/>
      <c r="B31" s="152"/>
      <c r="C31" s="152"/>
      <c r="D31" s="152"/>
      <c r="E31" s="152"/>
      <c r="F31" s="152"/>
      <c r="G31" s="152"/>
      <c r="H31" s="152"/>
      <c r="I31" s="152"/>
    </row>
    <row r="32" ht="15.75" customHeight="1">
      <c r="A32" s="152"/>
      <c r="B32" s="152"/>
      <c r="C32" s="152"/>
      <c r="D32" s="152"/>
      <c r="E32" s="152"/>
      <c r="F32" s="152"/>
      <c r="G32" s="152"/>
      <c r="H32" s="152"/>
      <c r="I32" s="152"/>
    </row>
    <row r="33" ht="15.75" customHeight="1">
      <c r="A33" s="152"/>
      <c r="B33" s="152"/>
      <c r="C33" s="152"/>
      <c r="D33" s="152"/>
      <c r="E33" s="152"/>
      <c r="F33" s="152"/>
      <c r="G33" s="152"/>
      <c r="H33" s="152"/>
      <c r="I33" s="152"/>
    </row>
    <row r="34" ht="15.75" customHeight="1">
      <c r="A34" s="152"/>
      <c r="B34" s="152"/>
      <c r="C34" s="152"/>
      <c r="D34" s="152"/>
      <c r="E34" s="152"/>
      <c r="F34" s="152"/>
      <c r="G34" s="152"/>
      <c r="H34" s="152"/>
      <c r="I34" s="152"/>
    </row>
    <row r="35" ht="15.75" customHeight="1">
      <c r="A35" s="152"/>
      <c r="B35" s="152"/>
      <c r="C35" s="152"/>
      <c r="D35" s="152"/>
      <c r="E35" s="152"/>
      <c r="F35" s="152"/>
      <c r="G35" s="152"/>
      <c r="H35" s="152"/>
      <c r="I35" s="152"/>
    </row>
    <row r="36" ht="15.75" customHeight="1">
      <c r="A36" s="152"/>
      <c r="B36" s="152"/>
      <c r="C36" s="152"/>
      <c r="D36" s="152"/>
      <c r="E36" s="152"/>
      <c r="F36" s="152"/>
      <c r="G36" s="152"/>
      <c r="H36" s="152"/>
      <c r="I36" s="152"/>
    </row>
    <row r="37" ht="15.75" customHeight="1">
      <c r="A37" s="152"/>
      <c r="B37" s="152"/>
      <c r="C37" s="152"/>
      <c r="D37" s="152"/>
      <c r="E37" s="152"/>
      <c r="F37" s="152"/>
      <c r="G37" s="152"/>
      <c r="H37" s="152"/>
      <c r="I37" s="152"/>
    </row>
    <row r="38" ht="15.75" customHeight="1">
      <c r="A38" s="152"/>
      <c r="B38" s="152"/>
      <c r="C38" s="152"/>
      <c r="D38" s="152"/>
      <c r="E38" s="152"/>
      <c r="F38" s="152"/>
      <c r="G38" s="152"/>
      <c r="H38" s="152"/>
      <c r="I38" s="152"/>
    </row>
    <row r="39" ht="15.75" customHeight="1">
      <c r="A39" s="152"/>
      <c r="B39" s="152"/>
      <c r="C39" s="152"/>
      <c r="D39" s="152"/>
      <c r="E39" s="152"/>
      <c r="F39" s="152"/>
      <c r="G39" s="152"/>
      <c r="H39" s="152"/>
      <c r="I39" s="152"/>
    </row>
    <row r="40" ht="15.75" customHeight="1">
      <c r="A40" s="152"/>
      <c r="B40" s="152"/>
      <c r="C40" s="152"/>
      <c r="D40" s="152"/>
      <c r="E40" s="152"/>
      <c r="F40" s="152"/>
      <c r="G40" s="152"/>
      <c r="H40" s="152"/>
      <c r="I40" s="152"/>
    </row>
    <row r="41" ht="15.75" customHeight="1">
      <c r="A41" s="152"/>
      <c r="B41" s="152"/>
      <c r="C41" s="152"/>
      <c r="D41" s="152"/>
      <c r="E41" s="152"/>
      <c r="F41" s="152"/>
      <c r="G41" s="152"/>
      <c r="H41" s="152"/>
      <c r="I41" s="15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 outlineLevelRow="1"/>
  <cols>
    <col customWidth="1" min="1" max="1" width="16.71"/>
    <col customWidth="1" min="2" max="6" width="14.43"/>
  </cols>
  <sheetData>
    <row r="1" ht="15.75" customHeight="1">
      <c r="A1" s="179"/>
      <c r="B1" s="179"/>
      <c r="C1" s="179"/>
      <c r="D1" s="179" t="s">
        <v>49</v>
      </c>
      <c r="E1" s="179" t="s">
        <v>50</v>
      </c>
      <c r="F1" s="179" t="s">
        <v>51</v>
      </c>
      <c r="G1" s="179" t="s">
        <v>52</v>
      </c>
      <c r="H1" s="179"/>
      <c r="I1" s="179"/>
      <c r="J1" s="180"/>
      <c r="K1" s="180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</row>
    <row r="2" ht="15.75" customHeight="1">
      <c r="A2" s="179" t="s">
        <v>5</v>
      </c>
      <c r="B2" s="179" t="s">
        <v>53</v>
      </c>
      <c r="C2" s="179" t="s">
        <v>54</v>
      </c>
      <c r="D2" s="179" t="s">
        <v>55</v>
      </c>
      <c r="E2" s="179" t="s">
        <v>56</v>
      </c>
      <c r="F2" s="179" t="s">
        <v>57</v>
      </c>
      <c r="G2" s="179" t="s">
        <v>58</v>
      </c>
      <c r="H2" s="179" t="s">
        <v>35</v>
      </c>
      <c r="I2" s="179" t="s">
        <v>59</v>
      </c>
      <c r="J2" s="180"/>
      <c r="K2" s="180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</row>
    <row r="3" ht="15.75" customHeight="1">
      <c r="A3" s="182" t="s">
        <v>60</v>
      </c>
      <c r="B3" s="183">
        <f>'Profit &amp; Loss'!S6</f>
        <v>4700</v>
      </c>
      <c r="C3" s="184">
        <f t="shared" ref="C3:C9" si="1">SUM(H3)</f>
        <v>5000</v>
      </c>
      <c r="D3" s="185">
        <v>1000.0</v>
      </c>
      <c r="E3" s="185">
        <v>2000.0</v>
      </c>
      <c r="F3" s="185">
        <v>2000.0</v>
      </c>
      <c r="G3" s="185"/>
      <c r="H3" s="185">
        <f t="shared" ref="H3:H10" si="2">SUM(D3:G3)</f>
        <v>5000</v>
      </c>
      <c r="I3" s="185"/>
      <c r="J3" s="186"/>
      <c r="K3" s="187"/>
    </row>
    <row r="4" ht="15.75" customHeight="1">
      <c r="A4" s="188" t="s">
        <v>5</v>
      </c>
      <c r="B4" s="189">
        <f>'Profit &amp; Loss'!S7</f>
        <v>134.5</v>
      </c>
      <c r="C4" s="184">
        <f t="shared" si="1"/>
        <v>0</v>
      </c>
      <c r="D4" s="190"/>
      <c r="E4" s="190"/>
      <c r="F4" s="190"/>
      <c r="G4" s="190"/>
      <c r="H4" s="190">
        <f t="shared" si="2"/>
        <v>0</v>
      </c>
      <c r="I4" s="190"/>
      <c r="J4" s="186"/>
      <c r="K4" s="187"/>
    </row>
    <row r="5" ht="15.75" customHeight="1">
      <c r="A5" s="188" t="s">
        <v>61</v>
      </c>
      <c r="B5" s="189">
        <f>'Profit &amp; Loss'!S9</f>
        <v>1302.06</v>
      </c>
      <c r="C5" s="184">
        <f t="shared" si="1"/>
        <v>6600</v>
      </c>
      <c r="D5" s="190"/>
      <c r="E5" s="190">
        <v>1300.0</v>
      </c>
      <c r="F5" s="190"/>
      <c r="G5" s="190">
        <f>SUM(1300+4000)</f>
        <v>5300</v>
      </c>
      <c r="H5" s="190">
        <f t="shared" si="2"/>
        <v>6600</v>
      </c>
      <c r="I5" s="185"/>
      <c r="J5" s="186" t="s">
        <v>62</v>
      </c>
      <c r="K5" s="187"/>
    </row>
    <row r="6" ht="15.75" customHeight="1">
      <c r="A6" s="188" t="s">
        <v>63</v>
      </c>
      <c r="B6" s="189">
        <f>'Profit &amp; Loss'!S10</f>
        <v>3530</v>
      </c>
      <c r="C6" s="184">
        <f t="shared" si="1"/>
        <v>0</v>
      </c>
      <c r="D6" s="190"/>
      <c r="E6" s="190"/>
      <c r="F6" s="190"/>
      <c r="G6" s="190"/>
      <c r="H6" s="190">
        <f t="shared" si="2"/>
        <v>0</v>
      </c>
      <c r="I6" s="190"/>
      <c r="J6" s="186"/>
      <c r="K6" s="187"/>
    </row>
    <row r="7" ht="15.75" customHeight="1">
      <c r="A7" s="188" t="s">
        <v>64</v>
      </c>
      <c r="B7" s="189">
        <f>'Profit &amp; Loss'!S11</f>
        <v>762.5</v>
      </c>
      <c r="C7" s="184">
        <f t="shared" si="1"/>
        <v>1800</v>
      </c>
      <c r="D7" s="190">
        <f t="shared" ref="D7:G7" si="3">SUM(45*10)</f>
        <v>450</v>
      </c>
      <c r="E7" s="190">
        <f t="shared" si="3"/>
        <v>450</v>
      </c>
      <c r="F7" s="190">
        <f t="shared" si="3"/>
        <v>450</v>
      </c>
      <c r="G7" s="190">
        <f t="shared" si="3"/>
        <v>450</v>
      </c>
      <c r="H7" s="190">
        <f t="shared" si="2"/>
        <v>1800</v>
      </c>
      <c r="I7" s="185"/>
      <c r="J7" s="186"/>
      <c r="K7" s="187"/>
    </row>
    <row r="8" ht="15.75" customHeight="1">
      <c r="A8" s="188" t="s">
        <v>65</v>
      </c>
      <c r="B8" s="189">
        <f>'Profit &amp; Loss'!S12</f>
        <v>40764.94</v>
      </c>
      <c r="C8" s="184">
        <f t="shared" si="1"/>
        <v>76800</v>
      </c>
      <c r="D8" s="190">
        <f t="shared" ref="D8:G8" si="4">(320*20*3)</f>
        <v>19200</v>
      </c>
      <c r="E8" s="190">
        <f t="shared" si="4"/>
        <v>19200</v>
      </c>
      <c r="F8" s="190">
        <f t="shared" si="4"/>
        <v>19200</v>
      </c>
      <c r="G8" s="190">
        <f t="shared" si="4"/>
        <v>19200</v>
      </c>
      <c r="H8" s="190">
        <f t="shared" si="2"/>
        <v>76800</v>
      </c>
      <c r="I8" s="190"/>
      <c r="J8" s="186"/>
      <c r="K8" s="187"/>
    </row>
    <row r="9" ht="15.75" customHeight="1">
      <c r="A9" s="188" t="s">
        <v>66</v>
      </c>
      <c r="B9" s="189">
        <f>'Profit &amp; Loss'!S13</f>
        <v>2402.68</v>
      </c>
      <c r="C9" s="184">
        <f t="shared" si="1"/>
        <v>10000</v>
      </c>
      <c r="D9" s="190">
        <v>10000.0</v>
      </c>
      <c r="E9" s="190"/>
      <c r="F9" s="190"/>
      <c r="G9" s="190"/>
      <c r="H9" s="190">
        <f t="shared" si="2"/>
        <v>10000</v>
      </c>
      <c r="I9" s="185"/>
      <c r="J9" s="186"/>
      <c r="K9" s="187"/>
      <c r="L9" s="187"/>
      <c r="M9" s="187"/>
      <c r="N9" s="187"/>
      <c r="O9" s="187"/>
      <c r="P9" s="187"/>
      <c r="Q9" s="187"/>
      <c r="R9" s="187"/>
      <c r="S9" s="187"/>
      <c r="T9" s="187"/>
      <c r="U9" s="187"/>
      <c r="V9" s="187"/>
      <c r="W9" s="187"/>
      <c r="X9" s="187"/>
      <c r="Y9" s="187"/>
      <c r="Z9" s="187"/>
      <c r="AA9" s="187"/>
    </row>
    <row r="10" ht="15.75" customHeight="1">
      <c r="A10" s="188" t="s">
        <v>67</v>
      </c>
      <c r="B10" s="189">
        <f>'Profit &amp; Loss'!S14</f>
        <v>397.27</v>
      </c>
      <c r="C10" s="184">
        <v>1000.0</v>
      </c>
      <c r="D10" s="190"/>
      <c r="E10" s="190"/>
      <c r="F10" s="190"/>
      <c r="G10" s="190"/>
      <c r="H10" s="190">
        <f t="shared" si="2"/>
        <v>0</v>
      </c>
      <c r="I10" s="190"/>
      <c r="J10" s="186"/>
      <c r="K10" s="187"/>
      <c r="L10" s="187"/>
      <c r="M10" s="187"/>
      <c r="N10" s="187"/>
      <c r="O10" s="187"/>
      <c r="P10" s="187"/>
      <c r="Q10" s="187"/>
      <c r="R10" s="187"/>
      <c r="S10" s="187"/>
      <c r="T10" s="187"/>
      <c r="U10" s="187"/>
      <c r="V10" s="187"/>
      <c r="W10" s="187"/>
      <c r="X10" s="187"/>
      <c r="Y10" s="187"/>
      <c r="Z10" s="187"/>
      <c r="AA10" s="187"/>
    </row>
    <row r="11" ht="15.75" customHeight="1">
      <c r="A11" s="191" t="s">
        <v>35</v>
      </c>
      <c r="B11" s="192">
        <f>SUM(B3:B10)</f>
        <v>53993.95</v>
      </c>
      <c r="C11" s="193">
        <f>SUM(H11)</f>
        <v>100200</v>
      </c>
      <c r="D11" s="193">
        <f t="shared" ref="D11:H11" si="5">SUM(D3:D10)</f>
        <v>30650</v>
      </c>
      <c r="E11" s="193">
        <f t="shared" si="5"/>
        <v>22950</v>
      </c>
      <c r="F11" s="193">
        <f t="shared" si="5"/>
        <v>21650</v>
      </c>
      <c r="G11" s="193">
        <f t="shared" si="5"/>
        <v>24950</v>
      </c>
      <c r="H11" s="193">
        <f t="shared" si="5"/>
        <v>100200</v>
      </c>
      <c r="I11" s="194"/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7"/>
      <c r="U11" s="187"/>
      <c r="V11" s="187"/>
      <c r="W11" s="187"/>
      <c r="X11" s="187"/>
      <c r="Y11" s="187"/>
      <c r="Z11" s="187"/>
      <c r="AA11" s="187"/>
    </row>
    <row r="12" ht="15.75" customHeight="1">
      <c r="A12" s="195" t="s">
        <v>22</v>
      </c>
      <c r="B12" s="195" t="s">
        <v>53</v>
      </c>
      <c r="C12" s="195" t="s">
        <v>54</v>
      </c>
      <c r="D12" s="195" t="s">
        <v>68</v>
      </c>
      <c r="E12" s="195" t="s">
        <v>50</v>
      </c>
      <c r="F12" s="195" t="s">
        <v>51</v>
      </c>
      <c r="G12" s="195" t="s">
        <v>52</v>
      </c>
      <c r="H12" s="195" t="s">
        <v>35</v>
      </c>
      <c r="I12" s="195" t="s">
        <v>69</v>
      </c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6"/>
      <c r="Y12" s="186"/>
      <c r="Z12" s="186"/>
      <c r="AA12" s="186"/>
    </row>
    <row r="13" ht="15.75" customHeight="1">
      <c r="A13" s="182" t="s">
        <v>70</v>
      </c>
      <c r="B13" s="185">
        <v>0.0</v>
      </c>
      <c r="C13" s="185"/>
      <c r="D13" s="185"/>
      <c r="E13" s="185"/>
      <c r="F13" s="185"/>
      <c r="G13" s="185"/>
      <c r="H13" s="185">
        <f t="shared" ref="H13:H25" si="6">SUM(D13:G13)</f>
        <v>0</v>
      </c>
      <c r="I13" s="185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186"/>
      <c r="V13" s="186"/>
      <c r="W13" s="186"/>
      <c r="X13" s="186"/>
      <c r="Y13" s="186"/>
      <c r="Z13" s="186"/>
      <c r="AA13" s="186"/>
    </row>
    <row r="14" ht="15.75" customHeight="1" collapsed="1">
      <c r="A14" s="196" t="s">
        <v>71</v>
      </c>
      <c r="B14" s="197">
        <f>'Profit &amp; Loss'!S27</f>
        <v>-12330</v>
      </c>
      <c r="C14" s="186">
        <f>SUM(C15:C23)</f>
        <v>36700</v>
      </c>
      <c r="D14" s="186"/>
      <c r="E14" s="186"/>
      <c r="F14" s="186"/>
      <c r="G14" s="186"/>
      <c r="H14" s="186">
        <f t="shared" si="6"/>
        <v>0</v>
      </c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6"/>
    </row>
    <row r="15" ht="15.75" hidden="1" customHeight="1" outlineLevel="1">
      <c r="A15" s="198" t="s">
        <v>72</v>
      </c>
      <c r="B15" s="198">
        <v>11000.0</v>
      </c>
      <c r="C15" s="198">
        <f>(5000*6)</f>
        <v>30000</v>
      </c>
      <c r="H15" s="187">
        <f t="shared" si="6"/>
        <v>0</v>
      </c>
      <c r="I15" s="194"/>
      <c r="J15" s="187"/>
      <c r="K15" s="187"/>
      <c r="L15" s="187"/>
      <c r="M15" s="187"/>
      <c r="N15" s="187"/>
      <c r="O15" s="187"/>
      <c r="P15" s="187"/>
      <c r="Q15" s="187"/>
      <c r="R15" s="187"/>
      <c r="S15" s="187"/>
      <c r="T15" s="187"/>
      <c r="U15" s="187"/>
      <c r="V15" s="187"/>
      <c r="W15" s="187"/>
      <c r="X15" s="187"/>
      <c r="Y15" s="187"/>
      <c r="Z15" s="187"/>
      <c r="AA15" s="187"/>
    </row>
    <row r="16" ht="15.75" hidden="1" customHeight="1" outlineLevel="1">
      <c r="A16" s="198" t="s">
        <v>73</v>
      </c>
      <c r="B16" s="198">
        <v>1800.0</v>
      </c>
      <c r="C16" s="198">
        <v>1800.0</v>
      </c>
      <c r="H16" s="187">
        <f t="shared" si="6"/>
        <v>0</v>
      </c>
      <c r="I16" s="199"/>
      <c r="J16" s="187"/>
      <c r="K16" s="187"/>
      <c r="L16" s="187"/>
      <c r="M16" s="187"/>
      <c r="N16" s="187"/>
      <c r="O16" s="187"/>
      <c r="P16" s="187"/>
      <c r="Q16" s="187"/>
      <c r="R16" s="187"/>
      <c r="S16" s="187"/>
      <c r="T16" s="187"/>
      <c r="U16" s="187"/>
      <c r="V16" s="187"/>
      <c r="W16" s="187"/>
      <c r="X16" s="187"/>
      <c r="Y16" s="187"/>
      <c r="Z16" s="187"/>
      <c r="AA16" s="187"/>
    </row>
    <row r="17" ht="15.75" hidden="1" customHeight="1" outlineLevel="1">
      <c r="A17" s="198" t="s">
        <v>74</v>
      </c>
      <c r="B17" s="198">
        <v>750.0</v>
      </c>
      <c r="C17" s="198">
        <v>1000.0</v>
      </c>
      <c r="H17" s="187">
        <f t="shared" si="6"/>
        <v>0</v>
      </c>
      <c r="I17" s="194"/>
      <c r="J17" s="187"/>
      <c r="K17" s="187"/>
    </row>
    <row r="18" ht="15.75" hidden="1" customHeight="1" outlineLevel="1">
      <c r="A18" s="198" t="s">
        <v>75</v>
      </c>
      <c r="B18" s="198">
        <v>1800.0</v>
      </c>
      <c r="C18" s="198">
        <v>1800.0</v>
      </c>
      <c r="H18" s="187">
        <f t="shared" si="6"/>
        <v>0</v>
      </c>
      <c r="I18" s="199"/>
      <c r="J18" s="187"/>
      <c r="K18" s="187"/>
    </row>
    <row r="19" ht="15.75" hidden="1" customHeight="1" outlineLevel="1">
      <c r="A19" s="198" t="s">
        <v>76</v>
      </c>
      <c r="B19" s="198"/>
      <c r="C19" s="198">
        <v>850.0</v>
      </c>
      <c r="H19" s="187">
        <f t="shared" si="6"/>
        <v>0</v>
      </c>
      <c r="I19" s="194"/>
      <c r="J19" s="187"/>
      <c r="K19" s="187"/>
    </row>
    <row r="20" ht="15.75" hidden="1" customHeight="1" outlineLevel="1">
      <c r="A20" s="198" t="s">
        <v>77</v>
      </c>
      <c r="B20" s="198"/>
      <c r="C20" s="198">
        <f>(55*10)</f>
        <v>550</v>
      </c>
      <c r="H20" s="187">
        <f t="shared" si="6"/>
        <v>0</v>
      </c>
      <c r="I20" s="199"/>
      <c r="J20" s="187"/>
      <c r="K20" s="187"/>
    </row>
    <row r="21" ht="15.75" hidden="1" customHeight="1" outlineLevel="1">
      <c r="A21" s="198" t="s">
        <v>78</v>
      </c>
      <c r="B21" s="198"/>
      <c r="C21" s="198">
        <v>200.0</v>
      </c>
      <c r="H21" s="187">
        <f t="shared" si="6"/>
        <v>0</v>
      </c>
      <c r="I21" s="194"/>
      <c r="J21" s="187"/>
      <c r="K21" s="187"/>
    </row>
    <row r="22" ht="15.75" hidden="1" customHeight="1" outlineLevel="1">
      <c r="A22" s="198" t="s">
        <v>79</v>
      </c>
      <c r="B22" s="198"/>
      <c r="C22" s="198">
        <v>0.0</v>
      </c>
      <c r="H22" s="187">
        <f t="shared" si="6"/>
        <v>0</v>
      </c>
      <c r="I22" s="199"/>
      <c r="J22" s="187"/>
      <c r="K22" s="187"/>
    </row>
    <row r="23" ht="15.75" hidden="1" customHeight="1" outlineLevel="1">
      <c r="A23" s="198" t="s">
        <v>80</v>
      </c>
      <c r="B23" s="198">
        <v>130.0</v>
      </c>
      <c r="C23" s="198">
        <v>500.0</v>
      </c>
      <c r="H23" s="187">
        <f t="shared" si="6"/>
        <v>0</v>
      </c>
      <c r="I23" s="194"/>
      <c r="J23" s="187"/>
      <c r="K23" s="187"/>
    </row>
    <row r="24" ht="15.75" customHeight="1">
      <c r="A24" s="182" t="s">
        <v>81</v>
      </c>
      <c r="B24" s="200">
        <f>'Profit &amp; Loss'!S28</f>
        <v>-8036.68</v>
      </c>
      <c r="C24" s="186">
        <v>5000.0</v>
      </c>
      <c r="D24" s="182"/>
      <c r="E24" s="182"/>
      <c r="F24" s="182"/>
      <c r="G24" s="182"/>
      <c r="H24" s="182">
        <f t="shared" si="6"/>
        <v>0</v>
      </c>
      <c r="I24" s="185"/>
      <c r="J24" s="196" t="s">
        <v>82</v>
      </c>
      <c r="K24" s="186"/>
    </row>
    <row r="25" ht="15.75" customHeight="1">
      <c r="A25" s="188" t="s">
        <v>83</v>
      </c>
      <c r="B25" s="189">
        <f>'Profit &amp; Loss'!S29</f>
        <v>-11522.25</v>
      </c>
      <c r="C25" s="190">
        <f>SUM(D25:G25)</f>
        <v>16300</v>
      </c>
      <c r="D25" s="190">
        <f>SUM(210*30+10000)</f>
        <v>16300</v>
      </c>
      <c r="E25" s="190"/>
      <c r="F25" s="190"/>
      <c r="G25" s="190"/>
      <c r="H25" s="190">
        <f t="shared" si="6"/>
        <v>16300</v>
      </c>
      <c r="I25" s="186"/>
      <c r="J25" s="186" t="s">
        <v>84</v>
      </c>
      <c r="K25" s="186"/>
    </row>
    <row r="26" ht="15.75" customHeight="1" collapsed="1">
      <c r="A26" s="188" t="s">
        <v>85</v>
      </c>
      <c r="B26" s="189">
        <f>'Profit &amp; Loss'!S30</f>
        <v>-5085.59</v>
      </c>
      <c r="C26" s="190">
        <v>5000.0</v>
      </c>
      <c r="D26" s="190"/>
      <c r="E26" s="190"/>
      <c r="F26" s="190"/>
      <c r="G26" s="190"/>
      <c r="H26" s="190"/>
      <c r="I26" s="185"/>
      <c r="J26" s="186"/>
      <c r="K26" s="186"/>
    </row>
    <row r="27" ht="15.75" hidden="1" customHeight="1" outlineLevel="1">
      <c r="A27" s="188"/>
      <c r="B27" s="190"/>
      <c r="C27" s="190"/>
      <c r="D27" s="190"/>
      <c r="E27" s="190"/>
      <c r="F27" s="190"/>
      <c r="G27" s="190"/>
      <c r="H27" s="190"/>
      <c r="I27" s="186"/>
      <c r="J27" s="186"/>
      <c r="K27" s="186"/>
    </row>
    <row r="28" ht="15.75" hidden="1" customHeight="1" outlineLevel="1">
      <c r="A28" s="188"/>
      <c r="B28" s="190"/>
      <c r="C28" s="190"/>
      <c r="D28" s="190"/>
      <c r="E28" s="190"/>
      <c r="F28" s="190"/>
      <c r="G28" s="190"/>
      <c r="H28" s="190"/>
      <c r="I28" s="185"/>
      <c r="J28" s="186"/>
      <c r="K28" s="186"/>
    </row>
    <row r="29" ht="15.75" customHeight="1">
      <c r="A29" s="188" t="s">
        <v>86</v>
      </c>
      <c r="B29" s="189">
        <f>'Profit &amp; Loss'!S31</f>
        <v>-2615</v>
      </c>
      <c r="C29" s="190">
        <v>5000.0</v>
      </c>
      <c r="D29" s="190"/>
      <c r="E29" s="190"/>
      <c r="F29" s="190"/>
      <c r="G29" s="190"/>
      <c r="H29" s="190"/>
      <c r="I29" s="186"/>
      <c r="J29" s="186"/>
      <c r="K29" s="186"/>
    </row>
    <row r="30" ht="15.75" customHeight="1">
      <c r="A30" s="188" t="s">
        <v>87</v>
      </c>
      <c r="B30" s="189">
        <f>'Profit &amp; Loss'!S32</f>
        <v>-5150.8</v>
      </c>
      <c r="C30" s="190">
        <v>4500.0</v>
      </c>
      <c r="D30" s="190"/>
      <c r="E30" s="190"/>
      <c r="F30" s="190"/>
      <c r="G30" s="190"/>
      <c r="H30" s="190"/>
      <c r="I30" s="185"/>
      <c r="J30" s="186"/>
      <c r="K30" s="186"/>
    </row>
    <row r="31" ht="15.75" customHeight="1">
      <c r="A31" s="188" t="s">
        <v>88</v>
      </c>
      <c r="B31" s="189">
        <f>'Profit &amp; Loss'!S33</f>
        <v>-603.3</v>
      </c>
      <c r="C31" s="190">
        <v>1000.0</v>
      </c>
      <c r="D31" s="190"/>
      <c r="E31" s="190"/>
      <c r="F31" s="190"/>
      <c r="G31" s="190"/>
      <c r="H31" s="190"/>
      <c r="I31" s="186"/>
      <c r="J31" s="186"/>
      <c r="K31" s="186"/>
    </row>
    <row r="32" ht="15.75" customHeight="1">
      <c r="A32" s="188" t="s">
        <v>89</v>
      </c>
      <c r="B32" s="189">
        <f>'Profit &amp; Loss'!S34</f>
        <v>-690</v>
      </c>
      <c r="C32" s="190">
        <v>2500.0</v>
      </c>
      <c r="D32" s="190"/>
      <c r="E32" s="190"/>
      <c r="F32" s="190"/>
      <c r="G32" s="190"/>
      <c r="H32" s="190"/>
      <c r="I32" s="185"/>
      <c r="J32" s="186"/>
      <c r="K32" s="186"/>
    </row>
    <row r="33" ht="15.75" customHeight="1">
      <c r="A33" s="188" t="s">
        <v>90</v>
      </c>
      <c r="B33" s="189">
        <f>'Profit &amp; Loss'!S35</f>
        <v>-331</v>
      </c>
      <c r="C33" s="190">
        <v>400.0</v>
      </c>
      <c r="D33" s="190"/>
      <c r="E33" s="190"/>
      <c r="F33" s="190"/>
      <c r="G33" s="190"/>
      <c r="H33" s="190"/>
      <c r="I33" s="186"/>
      <c r="J33" s="186"/>
      <c r="K33" s="186"/>
    </row>
    <row r="34" ht="15.75" customHeight="1">
      <c r="A34" s="188" t="s">
        <v>91</v>
      </c>
      <c r="B34" s="189">
        <f>'Profit &amp; Loss'!S36</f>
        <v>-2127.93</v>
      </c>
      <c r="C34" s="190">
        <v>6000.0</v>
      </c>
      <c r="D34" s="190"/>
      <c r="E34" s="190"/>
      <c r="F34" s="190"/>
      <c r="G34" s="190"/>
      <c r="H34" s="190"/>
      <c r="I34" s="185"/>
      <c r="J34" s="186"/>
      <c r="K34" s="186"/>
    </row>
    <row r="35" ht="15.75" customHeight="1">
      <c r="A35" s="188" t="s">
        <v>92</v>
      </c>
      <c r="B35" s="189">
        <f>'Profit &amp; Loss'!S37</f>
        <v>-158.3</v>
      </c>
      <c r="C35" s="190">
        <v>300.0</v>
      </c>
      <c r="D35" s="190"/>
      <c r="E35" s="190"/>
      <c r="F35" s="190"/>
      <c r="G35" s="190"/>
      <c r="H35" s="190"/>
      <c r="I35" s="186"/>
      <c r="J35" s="186"/>
      <c r="K35" s="186"/>
    </row>
    <row r="36" ht="15.75" customHeight="1">
      <c r="A36" s="188" t="s">
        <v>93</v>
      </c>
      <c r="B36" s="189">
        <f>'Profit &amp; Loss'!S38</f>
        <v>-993.75</v>
      </c>
      <c r="C36" s="190">
        <v>1000.0</v>
      </c>
      <c r="D36" s="190"/>
      <c r="E36" s="190"/>
      <c r="F36" s="190"/>
      <c r="G36" s="190"/>
      <c r="H36" s="190"/>
      <c r="I36" s="185"/>
      <c r="J36" s="186"/>
      <c r="K36" s="186"/>
    </row>
    <row r="37" ht="15.75" customHeight="1">
      <c r="A37" s="188" t="s">
        <v>94</v>
      </c>
      <c r="B37" s="189">
        <f>'Profit &amp; Loss'!S39</f>
        <v>-1168.11</v>
      </c>
      <c r="C37" s="190">
        <v>250.0</v>
      </c>
      <c r="D37" s="190"/>
      <c r="E37" s="190"/>
      <c r="F37" s="190"/>
      <c r="G37" s="190"/>
      <c r="H37" s="190"/>
      <c r="I37" s="186"/>
      <c r="J37" s="186"/>
      <c r="K37" s="186"/>
    </row>
    <row r="38" ht="15.75" customHeight="1">
      <c r="A38" s="188" t="s">
        <v>95</v>
      </c>
      <c r="B38" s="189">
        <f>'Profit &amp; Loss'!S40</f>
        <v>-755.55</v>
      </c>
      <c r="C38" s="190">
        <v>750.0</v>
      </c>
      <c r="D38" s="190"/>
      <c r="E38" s="190"/>
      <c r="F38" s="190"/>
      <c r="G38" s="190"/>
      <c r="H38" s="190"/>
      <c r="I38" s="185"/>
      <c r="J38" s="186"/>
      <c r="K38" s="186"/>
    </row>
    <row r="39" ht="15.75" customHeight="1">
      <c r="A39" s="188" t="s">
        <v>96</v>
      </c>
      <c r="B39" s="189">
        <f>'Profit &amp; Loss'!S41</f>
        <v>-1914.76</v>
      </c>
      <c r="C39" s="190">
        <v>3000.0</v>
      </c>
      <c r="D39" s="190"/>
      <c r="E39" s="190"/>
      <c r="F39" s="190"/>
      <c r="G39" s="190"/>
      <c r="H39" s="190"/>
      <c r="I39" s="186"/>
      <c r="J39" s="186"/>
      <c r="K39" s="186"/>
    </row>
    <row r="40" ht="15.75" customHeight="1">
      <c r="A40" s="188" t="s">
        <v>97</v>
      </c>
      <c r="B40" s="189">
        <f>'Profit &amp; Loss'!S42</f>
        <v>-398.98</v>
      </c>
      <c r="C40" s="190">
        <v>500.0</v>
      </c>
      <c r="D40" s="190"/>
      <c r="E40" s="190"/>
      <c r="F40" s="190"/>
      <c r="G40" s="190"/>
      <c r="H40" s="190"/>
      <c r="I40" s="185"/>
      <c r="J40" s="186"/>
      <c r="K40" s="186"/>
    </row>
    <row r="41" ht="15.75" customHeight="1">
      <c r="A41" s="188" t="s">
        <v>98</v>
      </c>
      <c r="B41" s="189">
        <f>'Profit &amp; Loss'!S43</f>
        <v>0</v>
      </c>
      <c r="C41" s="190">
        <v>2000.0</v>
      </c>
      <c r="D41" s="190"/>
      <c r="E41" s="190"/>
      <c r="F41" s="190"/>
      <c r="G41" s="190"/>
      <c r="H41" s="190"/>
      <c r="I41" s="186"/>
      <c r="J41" s="186"/>
      <c r="K41" s="186"/>
    </row>
    <row r="42" ht="15.75" customHeight="1">
      <c r="A42" s="188" t="s">
        <v>99</v>
      </c>
      <c r="B42" s="190"/>
      <c r="C42" s="190">
        <f>SUM(75*28)</f>
        <v>2100</v>
      </c>
      <c r="D42" s="190"/>
      <c r="E42" s="190"/>
      <c r="F42" s="190"/>
      <c r="G42" s="190"/>
      <c r="H42" s="190"/>
      <c r="I42" s="185"/>
      <c r="J42" s="186"/>
      <c r="K42" s="186"/>
    </row>
    <row r="43" ht="15.75" customHeight="1">
      <c r="A43" s="188" t="s">
        <v>100</v>
      </c>
      <c r="B43" s="189">
        <f>'Profit &amp; Loss'!S45</f>
        <v>-300</v>
      </c>
      <c r="C43" s="190">
        <f>SUM(28*30*12)</f>
        <v>10080</v>
      </c>
      <c r="D43" s="190"/>
      <c r="E43" s="190"/>
      <c r="F43" s="190"/>
      <c r="G43" s="190"/>
      <c r="H43" s="190"/>
      <c r="I43" s="186"/>
      <c r="J43" s="186"/>
      <c r="K43" s="186"/>
    </row>
    <row r="44" ht="15.75" customHeight="1">
      <c r="A44" s="84"/>
      <c r="B44" s="201">
        <f>SUM(B13:B14,B24:B43)</f>
        <v>-54182</v>
      </c>
      <c r="C44" s="201">
        <f>SUM(C13:C14,C25:C26,C29:AA43)</f>
        <v>97380</v>
      </c>
      <c r="D44" s="201">
        <f t="shared" ref="D44:I44" si="7">SUM(D13:D41)</f>
        <v>16300</v>
      </c>
      <c r="E44" s="201">
        <f t="shared" si="7"/>
        <v>0</v>
      </c>
      <c r="F44" s="201">
        <f t="shared" si="7"/>
        <v>0</v>
      </c>
      <c r="G44" s="201">
        <f t="shared" si="7"/>
        <v>0</v>
      </c>
      <c r="H44" s="201">
        <f t="shared" si="7"/>
        <v>16300</v>
      </c>
      <c r="I44" s="201">
        <f t="shared" si="7"/>
        <v>0</v>
      </c>
      <c r="J44" s="187"/>
      <c r="K44" s="187"/>
    </row>
    <row r="45" ht="15.75" customHeight="1">
      <c r="A45" s="84"/>
      <c r="I45" s="187"/>
      <c r="J45" s="187"/>
      <c r="K45" s="187"/>
    </row>
    <row r="46" ht="15.75" customHeight="1">
      <c r="A46" s="84"/>
      <c r="I46" s="187"/>
      <c r="J46" s="187"/>
      <c r="K46" s="187"/>
    </row>
    <row r="47" ht="15.75" customHeight="1">
      <c r="A47" s="84"/>
      <c r="I47" s="187"/>
      <c r="J47" s="187"/>
      <c r="K47" s="187"/>
    </row>
    <row r="48" ht="15.75" customHeight="1">
      <c r="A48" s="84"/>
      <c r="I48" s="187"/>
      <c r="J48" s="187"/>
      <c r="K48" s="187"/>
    </row>
    <row r="49" ht="15.75" customHeight="1">
      <c r="A49" s="84"/>
      <c r="I49" s="187"/>
      <c r="J49" s="187"/>
      <c r="K49" s="187"/>
    </row>
    <row r="50" ht="15.75" customHeight="1">
      <c r="A50" s="84"/>
      <c r="I50" s="187"/>
      <c r="J50" s="187"/>
      <c r="K50" s="187"/>
    </row>
    <row r="51" ht="15.75" customHeight="1">
      <c r="A51" s="84"/>
      <c r="I51" s="187"/>
      <c r="J51" s="187"/>
      <c r="K51" s="187"/>
    </row>
    <row r="52" ht="15.75" customHeight="1">
      <c r="A52" s="84"/>
      <c r="I52" s="187"/>
      <c r="J52" s="187"/>
      <c r="K52" s="187"/>
    </row>
    <row r="53" ht="15.75" customHeight="1">
      <c r="A53" s="84"/>
      <c r="I53" s="187"/>
      <c r="J53" s="187"/>
      <c r="K53" s="187"/>
    </row>
    <row r="54" ht="15.75" customHeight="1">
      <c r="A54" s="84"/>
      <c r="I54" s="187"/>
      <c r="J54" s="187"/>
      <c r="K54" s="187"/>
    </row>
    <row r="55" ht="15.75" customHeight="1">
      <c r="A55" s="84"/>
      <c r="I55" s="187"/>
      <c r="J55" s="187"/>
      <c r="K55" s="187"/>
    </row>
    <row r="56" ht="15.75" customHeight="1">
      <c r="A56" s="84"/>
      <c r="I56" s="187"/>
      <c r="J56" s="187"/>
      <c r="K56" s="187"/>
    </row>
    <row r="57" ht="15.75" customHeight="1">
      <c r="A57" s="84"/>
      <c r="I57" s="187"/>
      <c r="J57" s="187"/>
      <c r="K57" s="187"/>
    </row>
    <row r="58" ht="15.75" customHeight="1">
      <c r="A58" s="84"/>
      <c r="I58" s="187"/>
      <c r="J58" s="187"/>
      <c r="K58" s="187"/>
    </row>
    <row r="59" ht="15.75" customHeight="1">
      <c r="A59" s="84"/>
      <c r="I59" s="187"/>
      <c r="J59" s="187"/>
      <c r="K59" s="187"/>
    </row>
    <row r="60" ht="15.75" customHeight="1">
      <c r="A60" s="84"/>
      <c r="I60" s="187"/>
      <c r="J60" s="187"/>
      <c r="K60" s="187"/>
    </row>
    <row r="61" ht="15.75" customHeight="1">
      <c r="A61" s="84"/>
      <c r="I61" s="187"/>
      <c r="J61" s="187"/>
      <c r="K61" s="187"/>
    </row>
    <row r="62" ht="15.75" customHeight="1">
      <c r="A62" s="131"/>
      <c r="I62" s="187"/>
      <c r="J62" s="187"/>
      <c r="K62" s="187"/>
    </row>
    <row r="63" ht="15.75" customHeight="1">
      <c r="I63" s="187"/>
      <c r="J63" s="187"/>
      <c r="K63" s="187"/>
    </row>
    <row r="64" ht="15.75" customHeight="1">
      <c r="I64" s="187"/>
      <c r="J64" s="187"/>
      <c r="K64" s="187"/>
    </row>
    <row r="65" ht="15.75" customHeight="1">
      <c r="I65" s="187"/>
      <c r="J65" s="187"/>
      <c r="K65" s="187"/>
    </row>
    <row r="66" ht="15.75" customHeight="1">
      <c r="I66" s="187"/>
      <c r="J66" s="187"/>
      <c r="K66" s="187"/>
    </row>
    <row r="67" ht="15.75" customHeight="1">
      <c r="I67" s="187"/>
      <c r="J67" s="187"/>
      <c r="K67" s="187"/>
    </row>
    <row r="68" ht="15.75" customHeight="1">
      <c r="I68" s="187"/>
      <c r="J68" s="187"/>
      <c r="K68" s="187"/>
    </row>
    <row r="69" ht="15.75" customHeight="1">
      <c r="I69" s="187"/>
      <c r="J69" s="187"/>
      <c r="K69" s="187"/>
    </row>
    <row r="70" ht="15.75" customHeight="1">
      <c r="I70" s="187"/>
      <c r="J70" s="187"/>
      <c r="K70" s="187"/>
    </row>
    <row r="71" ht="15.75" customHeight="1">
      <c r="I71" s="187"/>
      <c r="J71" s="187"/>
      <c r="K71" s="187"/>
    </row>
    <row r="72" ht="15.75" customHeight="1">
      <c r="I72" s="187"/>
      <c r="J72" s="187"/>
      <c r="K72" s="187"/>
    </row>
    <row r="73" ht="15.75" customHeight="1">
      <c r="I73" s="187"/>
      <c r="J73" s="187"/>
      <c r="K73" s="187"/>
    </row>
    <row r="74" ht="15.75" customHeight="1">
      <c r="I74" s="187"/>
      <c r="J74" s="187"/>
      <c r="K74" s="187"/>
    </row>
    <row r="75" ht="15.75" customHeight="1">
      <c r="I75" s="187"/>
      <c r="J75" s="187"/>
      <c r="K75" s="187"/>
    </row>
    <row r="76" ht="15.75" customHeight="1">
      <c r="I76" s="187"/>
      <c r="J76" s="187"/>
      <c r="K76" s="187"/>
    </row>
    <row r="77" ht="15.75" customHeight="1">
      <c r="I77" s="187"/>
      <c r="J77" s="187"/>
      <c r="K77" s="187"/>
    </row>
    <row r="78" ht="15.75" customHeight="1">
      <c r="I78" s="187"/>
      <c r="J78" s="187"/>
      <c r="K78" s="187"/>
    </row>
    <row r="79" ht="15.75" customHeight="1">
      <c r="I79" s="187"/>
      <c r="J79" s="187"/>
      <c r="K79" s="187"/>
    </row>
    <row r="80" ht="15.75" customHeight="1">
      <c r="I80" s="187"/>
      <c r="J80" s="187"/>
      <c r="K80" s="187"/>
    </row>
    <row r="81" ht="15.75" customHeight="1">
      <c r="I81" s="187"/>
      <c r="J81" s="187"/>
      <c r="K81" s="187"/>
    </row>
    <row r="82" ht="15.75" customHeight="1">
      <c r="I82" s="187"/>
      <c r="J82" s="187"/>
      <c r="K82" s="187"/>
    </row>
    <row r="83" ht="15.75" customHeight="1">
      <c r="I83" s="187"/>
      <c r="J83" s="187"/>
      <c r="K83" s="187"/>
    </row>
    <row r="84" ht="15.75" customHeight="1">
      <c r="I84" s="187"/>
      <c r="J84" s="187"/>
      <c r="K84" s="187"/>
    </row>
    <row r="85" ht="15.75" customHeight="1">
      <c r="I85" s="187"/>
      <c r="J85" s="187"/>
      <c r="K85" s="187"/>
    </row>
    <row r="86" ht="15.75" customHeight="1">
      <c r="I86" s="187"/>
      <c r="J86" s="187"/>
      <c r="K86" s="187"/>
    </row>
    <row r="87" ht="15.75" customHeight="1">
      <c r="I87" s="187"/>
      <c r="J87" s="187"/>
      <c r="K87" s="187"/>
    </row>
    <row r="88" ht="15.75" customHeight="1">
      <c r="I88" s="187"/>
      <c r="J88" s="187"/>
      <c r="K88" s="187"/>
    </row>
    <row r="89" ht="15.75" customHeight="1">
      <c r="I89" s="187"/>
      <c r="J89" s="187"/>
      <c r="K89" s="187"/>
    </row>
    <row r="90" ht="15.75" customHeight="1">
      <c r="I90" s="187"/>
      <c r="J90" s="187"/>
      <c r="K90" s="187"/>
    </row>
    <row r="91" ht="15.75" customHeight="1">
      <c r="I91" s="187"/>
      <c r="J91" s="187"/>
      <c r="K91" s="187"/>
    </row>
    <row r="92" ht="15.75" customHeight="1">
      <c r="I92" s="187"/>
      <c r="J92" s="187"/>
      <c r="K92" s="187"/>
    </row>
    <row r="93" ht="15.75" customHeight="1">
      <c r="I93" s="187"/>
      <c r="J93" s="187"/>
      <c r="K93" s="187"/>
    </row>
    <row r="94" ht="15.75" customHeight="1">
      <c r="I94" s="187"/>
      <c r="J94" s="187"/>
      <c r="K94" s="187"/>
    </row>
    <row r="95" ht="15.75" customHeight="1">
      <c r="I95" s="187"/>
      <c r="J95" s="187"/>
      <c r="K95" s="187"/>
    </row>
    <row r="96" ht="15.75" customHeight="1">
      <c r="I96" s="187"/>
      <c r="J96" s="187"/>
      <c r="K96" s="187"/>
    </row>
    <row r="97" ht="15.75" customHeight="1">
      <c r="I97" s="187"/>
      <c r="J97" s="187"/>
      <c r="K97" s="187"/>
    </row>
    <row r="98" ht="15.75" customHeight="1">
      <c r="I98" s="187"/>
      <c r="J98" s="187"/>
      <c r="K98" s="187"/>
    </row>
    <row r="99" ht="15.75" customHeight="1">
      <c r="I99" s="187"/>
      <c r="J99" s="187"/>
      <c r="K99" s="187"/>
    </row>
    <row r="100" ht="15.75" customHeight="1">
      <c r="I100" s="187"/>
      <c r="J100" s="187"/>
      <c r="K100" s="187"/>
    </row>
    <row r="101" ht="15.75" customHeight="1">
      <c r="I101" s="187"/>
      <c r="J101" s="187"/>
      <c r="K101" s="187"/>
    </row>
    <row r="102" ht="15.75" customHeight="1">
      <c r="I102" s="187"/>
      <c r="J102" s="187"/>
      <c r="K102" s="187"/>
    </row>
    <row r="103" ht="15.75" customHeight="1">
      <c r="I103" s="187"/>
      <c r="J103" s="187"/>
      <c r="K103" s="187"/>
    </row>
    <row r="104" ht="15.75" customHeight="1">
      <c r="I104" s="187"/>
      <c r="J104" s="187"/>
      <c r="K104" s="187"/>
    </row>
    <row r="105" ht="15.75" customHeight="1">
      <c r="I105" s="187"/>
      <c r="J105" s="187"/>
      <c r="K105" s="187"/>
    </row>
    <row r="106" ht="15.75" customHeight="1">
      <c r="I106" s="187"/>
      <c r="J106" s="187"/>
      <c r="K106" s="187"/>
    </row>
    <row r="107" ht="15.75" customHeight="1">
      <c r="I107" s="187"/>
      <c r="J107" s="187"/>
      <c r="K107" s="187"/>
    </row>
    <row r="108" ht="15.75" customHeight="1">
      <c r="I108" s="187"/>
      <c r="J108" s="187"/>
      <c r="K108" s="187"/>
    </row>
    <row r="109" ht="15.75" customHeight="1">
      <c r="I109" s="187"/>
      <c r="J109" s="187"/>
      <c r="K109" s="187"/>
    </row>
    <row r="110" ht="15.75" customHeight="1">
      <c r="I110" s="187"/>
      <c r="J110" s="187"/>
      <c r="K110" s="187"/>
    </row>
    <row r="111" ht="15.75" customHeight="1">
      <c r="I111" s="187"/>
      <c r="J111" s="187"/>
      <c r="K111" s="187"/>
    </row>
    <row r="112" ht="15.75" customHeight="1">
      <c r="I112" s="187"/>
      <c r="J112" s="187"/>
      <c r="K112" s="187"/>
    </row>
    <row r="113" ht="15.75" customHeight="1">
      <c r="I113" s="187"/>
      <c r="J113" s="187"/>
      <c r="K113" s="187"/>
    </row>
    <row r="114" ht="15.75" customHeight="1">
      <c r="I114" s="187"/>
      <c r="J114" s="187"/>
      <c r="K114" s="187"/>
    </row>
    <row r="115" ht="15.75" customHeight="1">
      <c r="I115" s="187"/>
      <c r="J115" s="187"/>
      <c r="K115" s="187"/>
    </row>
    <row r="116" ht="15.75" customHeight="1">
      <c r="I116" s="187"/>
      <c r="J116" s="187"/>
      <c r="K116" s="187"/>
    </row>
    <row r="117" ht="15.75" customHeight="1">
      <c r="I117" s="187"/>
      <c r="J117" s="187"/>
      <c r="K117" s="187"/>
    </row>
    <row r="118" ht="15.75" customHeight="1">
      <c r="I118" s="187"/>
      <c r="J118" s="187"/>
      <c r="K118" s="187"/>
    </row>
    <row r="119" ht="15.75" customHeight="1">
      <c r="I119" s="187"/>
      <c r="J119" s="187"/>
      <c r="K119" s="187"/>
    </row>
    <row r="120" ht="15.75" customHeight="1">
      <c r="I120" s="187"/>
      <c r="J120" s="187"/>
      <c r="K120" s="187"/>
    </row>
    <row r="121" ht="15.75" customHeight="1">
      <c r="I121" s="187"/>
      <c r="J121" s="187"/>
      <c r="K121" s="187"/>
    </row>
    <row r="122" ht="15.75" customHeight="1">
      <c r="I122" s="187"/>
      <c r="J122" s="187"/>
      <c r="K122" s="187"/>
    </row>
    <row r="123" ht="15.75" customHeight="1">
      <c r="I123" s="187"/>
      <c r="J123" s="187"/>
      <c r="K123" s="187"/>
    </row>
    <row r="124" ht="15.75" customHeight="1">
      <c r="I124" s="187"/>
      <c r="J124" s="187"/>
      <c r="K124" s="187"/>
    </row>
    <row r="125" ht="15.75" customHeight="1">
      <c r="I125" s="187"/>
      <c r="J125" s="187"/>
      <c r="K125" s="187"/>
    </row>
    <row r="126" ht="15.75" customHeight="1">
      <c r="I126" s="187"/>
      <c r="J126" s="187"/>
      <c r="K126" s="187"/>
    </row>
    <row r="127" ht="15.75" customHeight="1">
      <c r="I127" s="187"/>
      <c r="J127" s="187"/>
      <c r="K127" s="187"/>
    </row>
    <row r="128" ht="15.75" customHeight="1">
      <c r="I128" s="187"/>
      <c r="J128" s="187"/>
      <c r="K128" s="187"/>
    </row>
    <row r="129" ht="15.75" customHeight="1">
      <c r="I129" s="187"/>
      <c r="J129" s="187"/>
      <c r="K129" s="187"/>
    </row>
    <row r="130" ht="15.75" customHeight="1">
      <c r="I130" s="187"/>
      <c r="J130" s="187"/>
      <c r="K130" s="187"/>
    </row>
    <row r="131" ht="15.75" customHeight="1">
      <c r="I131" s="187"/>
      <c r="J131" s="187"/>
      <c r="K131" s="187"/>
    </row>
    <row r="132" ht="15.75" customHeight="1">
      <c r="I132" s="187"/>
      <c r="J132" s="187"/>
      <c r="K132" s="187"/>
    </row>
    <row r="133" ht="15.75" customHeight="1">
      <c r="I133" s="187"/>
      <c r="J133" s="187"/>
      <c r="K133" s="187"/>
    </row>
    <row r="134" ht="15.75" customHeight="1">
      <c r="I134" s="187"/>
      <c r="J134" s="187"/>
      <c r="K134" s="187"/>
    </row>
    <row r="135" ht="15.75" customHeight="1">
      <c r="I135" s="187"/>
      <c r="J135" s="187"/>
      <c r="K135" s="187"/>
    </row>
    <row r="136" ht="15.75" customHeight="1">
      <c r="I136" s="187"/>
      <c r="J136" s="187"/>
      <c r="K136" s="187"/>
    </row>
    <row r="137" ht="15.75" customHeight="1">
      <c r="I137" s="187"/>
      <c r="J137" s="187"/>
      <c r="K137" s="187"/>
    </row>
    <row r="138" ht="15.75" customHeight="1">
      <c r="I138" s="187"/>
      <c r="J138" s="187"/>
      <c r="K138" s="187"/>
    </row>
    <row r="139" ht="15.75" customHeight="1">
      <c r="I139" s="187"/>
      <c r="J139" s="187"/>
      <c r="K139" s="187"/>
    </row>
    <row r="140" ht="15.75" customHeight="1">
      <c r="I140" s="187"/>
      <c r="J140" s="187"/>
      <c r="K140" s="187"/>
    </row>
    <row r="141" ht="15.75" customHeight="1">
      <c r="I141" s="187"/>
      <c r="J141" s="187"/>
      <c r="K141" s="187"/>
    </row>
    <row r="142" ht="15.75" customHeight="1">
      <c r="I142" s="187"/>
      <c r="J142" s="187"/>
      <c r="K142" s="187"/>
    </row>
    <row r="143" ht="15.75" customHeight="1">
      <c r="I143" s="187"/>
      <c r="J143" s="187"/>
      <c r="K143" s="187"/>
    </row>
    <row r="144" ht="15.75" customHeight="1">
      <c r="I144" s="187"/>
      <c r="J144" s="187"/>
      <c r="K144" s="187"/>
    </row>
    <row r="145" ht="15.75" customHeight="1">
      <c r="I145" s="187"/>
      <c r="J145" s="187"/>
      <c r="K145" s="187"/>
    </row>
    <row r="146" ht="15.75" customHeight="1">
      <c r="I146" s="187"/>
      <c r="J146" s="187"/>
      <c r="K146" s="187"/>
    </row>
    <row r="147" ht="15.75" customHeight="1">
      <c r="I147" s="187"/>
      <c r="J147" s="187"/>
      <c r="K147" s="187"/>
    </row>
    <row r="148" ht="15.75" customHeight="1">
      <c r="I148" s="187"/>
      <c r="J148" s="187"/>
      <c r="K148" s="187"/>
    </row>
    <row r="149" ht="15.75" customHeight="1">
      <c r="I149" s="187"/>
      <c r="J149" s="187"/>
      <c r="K149" s="187"/>
    </row>
    <row r="150" ht="15.75" customHeight="1">
      <c r="I150" s="187"/>
      <c r="J150" s="187"/>
      <c r="K150" s="187"/>
    </row>
    <row r="151" ht="15.75" customHeight="1">
      <c r="I151" s="187"/>
      <c r="J151" s="187"/>
      <c r="K151" s="187"/>
    </row>
    <row r="152" ht="15.75" customHeight="1">
      <c r="I152" s="187"/>
      <c r="J152" s="187"/>
      <c r="K152" s="187"/>
    </row>
    <row r="153" ht="15.75" customHeight="1">
      <c r="I153" s="187"/>
      <c r="J153" s="187"/>
      <c r="K153" s="187"/>
    </row>
    <row r="154" ht="15.75" customHeight="1">
      <c r="I154" s="187"/>
      <c r="J154" s="187"/>
      <c r="K154" s="187"/>
    </row>
    <row r="155" ht="15.75" customHeight="1">
      <c r="I155" s="187"/>
      <c r="J155" s="187"/>
      <c r="K155" s="187"/>
    </row>
    <row r="156" ht="15.75" customHeight="1">
      <c r="I156" s="187"/>
      <c r="J156" s="187"/>
      <c r="K156" s="187"/>
    </row>
    <row r="157" ht="15.75" customHeight="1">
      <c r="I157" s="187"/>
      <c r="J157" s="187"/>
      <c r="K157" s="187"/>
    </row>
    <row r="158" ht="15.75" customHeight="1">
      <c r="I158" s="187"/>
      <c r="J158" s="187"/>
      <c r="K158" s="187"/>
    </row>
    <row r="159" ht="15.75" customHeight="1">
      <c r="I159" s="187"/>
      <c r="J159" s="187"/>
      <c r="K159" s="187"/>
    </row>
    <row r="160" ht="15.75" customHeight="1">
      <c r="I160" s="187"/>
      <c r="J160" s="187"/>
      <c r="K160" s="187"/>
    </row>
    <row r="161" ht="15.75" customHeight="1">
      <c r="I161" s="187"/>
      <c r="J161" s="187"/>
      <c r="K161" s="187"/>
    </row>
    <row r="162" ht="15.75" customHeight="1">
      <c r="I162" s="187"/>
      <c r="J162" s="187"/>
      <c r="K162" s="187"/>
    </row>
    <row r="163" ht="15.75" customHeight="1">
      <c r="I163" s="187"/>
      <c r="J163" s="187"/>
      <c r="K163" s="187"/>
    </row>
    <row r="164" ht="15.75" customHeight="1">
      <c r="I164" s="187"/>
      <c r="J164" s="187"/>
      <c r="K164" s="187"/>
    </row>
    <row r="165" ht="15.75" customHeight="1">
      <c r="I165" s="187"/>
      <c r="J165" s="187"/>
      <c r="K165" s="187"/>
    </row>
    <row r="166" ht="15.75" customHeight="1">
      <c r="I166" s="187"/>
      <c r="J166" s="187"/>
      <c r="K166" s="187"/>
    </row>
    <row r="167" ht="15.75" customHeight="1">
      <c r="I167" s="187"/>
      <c r="J167" s="187"/>
      <c r="K167" s="187"/>
    </row>
    <row r="168" ht="15.75" customHeight="1">
      <c r="I168" s="187"/>
      <c r="J168" s="187"/>
      <c r="K168" s="187"/>
    </row>
    <row r="169" ht="15.75" customHeight="1">
      <c r="I169" s="187"/>
      <c r="J169" s="187"/>
      <c r="K169" s="187"/>
    </row>
    <row r="170" ht="15.75" customHeight="1">
      <c r="I170" s="187"/>
      <c r="J170" s="187"/>
      <c r="K170" s="187"/>
    </row>
    <row r="171" ht="15.75" customHeight="1">
      <c r="I171" s="187"/>
      <c r="J171" s="187"/>
      <c r="K171" s="187"/>
    </row>
    <row r="172" ht="15.75" customHeight="1">
      <c r="I172" s="187"/>
      <c r="J172" s="187"/>
      <c r="K172" s="187"/>
    </row>
    <row r="173" ht="15.75" customHeight="1">
      <c r="I173" s="187"/>
      <c r="J173" s="187"/>
      <c r="K173" s="187"/>
    </row>
    <row r="174" ht="15.75" customHeight="1">
      <c r="I174" s="187"/>
      <c r="J174" s="187"/>
      <c r="K174" s="187"/>
    </row>
    <row r="175" ht="15.75" customHeight="1">
      <c r="I175" s="187"/>
      <c r="J175" s="187"/>
      <c r="K175" s="187"/>
    </row>
    <row r="176" ht="15.75" customHeight="1">
      <c r="I176" s="187"/>
      <c r="J176" s="187"/>
      <c r="K176" s="187"/>
    </row>
    <row r="177" ht="15.75" customHeight="1">
      <c r="I177" s="187"/>
      <c r="J177" s="187"/>
      <c r="K177" s="187"/>
    </row>
    <row r="178" ht="15.75" customHeight="1">
      <c r="I178" s="187"/>
      <c r="J178" s="187"/>
      <c r="K178" s="187"/>
    </row>
    <row r="179" ht="15.75" customHeight="1">
      <c r="I179" s="187"/>
      <c r="J179" s="187"/>
      <c r="K179" s="187"/>
    </row>
    <row r="180" ht="15.75" customHeight="1">
      <c r="I180" s="187"/>
      <c r="J180" s="187"/>
      <c r="K180" s="187"/>
    </row>
    <row r="181" ht="15.75" customHeight="1">
      <c r="I181" s="187"/>
      <c r="J181" s="187"/>
      <c r="K181" s="187"/>
    </row>
    <row r="182" ht="15.75" customHeight="1">
      <c r="I182" s="187"/>
      <c r="J182" s="187"/>
      <c r="K182" s="187"/>
    </row>
    <row r="183" ht="15.75" customHeight="1">
      <c r="I183" s="187"/>
      <c r="J183" s="187"/>
      <c r="K183" s="187"/>
    </row>
    <row r="184" ht="15.75" customHeight="1">
      <c r="I184" s="187"/>
      <c r="J184" s="187"/>
      <c r="K184" s="187"/>
    </row>
    <row r="185" ht="15.75" customHeight="1">
      <c r="I185" s="187"/>
      <c r="J185" s="187"/>
      <c r="K185" s="187"/>
    </row>
    <row r="186" ht="15.75" customHeight="1">
      <c r="I186" s="187"/>
      <c r="J186" s="187"/>
      <c r="K186" s="187"/>
    </row>
    <row r="187" ht="15.75" customHeight="1">
      <c r="I187" s="187"/>
      <c r="J187" s="187"/>
      <c r="K187" s="187"/>
    </row>
    <row r="188" ht="15.75" customHeight="1">
      <c r="I188" s="187"/>
      <c r="J188" s="187"/>
      <c r="K188" s="187"/>
    </row>
    <row r="189" ht="15.75" customHeight="1">
      <c r="I189" s="187"/>
      <c r="J189" s="187"/>
      <c r="K189" s="187"/>
    </row>
    <row r="190" ht="15.75" customHeight="1">
      <c r="I190" s="187"/>
      <c r="J190" s="187"/>
      <c r="K190" s="187"/>
    </row>
    <row r="191" ht="15.75" customHeight="1">
      <c r="I191" s="187"/>
      <c r="J191" s="187"/>
      <c r="K191" s="187"/>
    </row>
    <row r="192" ht="15.75" customHeight="1">
      <c r="I192" s="187"/>
      <c r="J192" s="187"/>
      <c r="K192" s="187"/>
    </row>
    <row r="193" ht="15.75" customHeight="1">
      <c r="I193" s="187"/>
      <c r="J193" s="187"/>
      <c r="K193" s="187"/>
    </row>
    <row r="194" ht="15.75" customHeight="1">
      <c r="I194" s="187"/>
      <c r="J194" s="187"/>
      <c r="K194" s="187"/>
    </row>
    <row r="195" ht="15.75" customHeight="1">
      <c r="I195" s="187"/>
      <c r="J195" s="187"/>
      <c r="K195" s="187"/>
    </row>
    <row r="196" ht="15.75" customHeight="1">
      <c r="I196" s="187"/>
      <c r="J196" s="187"/>
      <c r="K196" s="187"/>
    </row>
    <row r="197" ht="15.75" customHeight="1">
      <c r="I197" s="187"/>
      <c r="J197" s="187"/>
      <c r="K197" s="187"/>
    </row>
    <row r="198" ht="15.75" customHeight="1">
      <c r="I198" s="187"/>
      <c r="J198" s="187"/>
      <c r="K198" s="187"/>
    </row>
    <row r="199" ht="15.75" customHeight="1">
      <c r="I199" s="187"/>
      <c r="J199" s="187"/>
      <c r="K199" s="187"/>
    </row>
    <row r="200" ht="15.75" customHeight="1">
      <c r="I200" s="187"/>
      <c r="J200" s="187"/>
      <c r="K200" s="187"/>
    </row>
    <row r="201" ht="15.75" customHeight="1">
      <c r="I201" s="187"/>
      <c r="J201" s="187"/>
      <c r="K201" s="187"/>
    </row>
    <row r="202" ht="15.75" customHeight="1">
      <c r="I202" s="187"/>
      <c r="J202" s="187"/>
      <c r="K202" s="187"/>
    </row>
    <row r="203" ht="15.75" customHeight="1">
      <c r="I203" s="187"/>
      <c r="J203" s="187"/>
      <c r="K203" s="187"/>
    </row>
    <row r="204" ht="15.75" customHeight="1">
      <c r="I204" s="187"/>
      <c r="J204" s="187"/>
      <c r="K204" s="187"/>
    </row>
    <row r="205" ht="15.75" customHeight="1">
      <c r="I205" s="187"/>
      <c r="J205" s="187"/>
      <c r="K205" s="187"/>
    </row>
    <row r="206" ht="15.75" customHeight="1">
      <c r="I206" s="187"/>
      <c r="J206" s="187"/>
      <c r="K206" s="187"/>
    </row>
    <row r="207" ht="15.75" customHeight="1">
      <c r="I207" s="187"/>
      <c r="J207" s="187"/>
      <c r="K207" s="187"/>
    </row>
    <row r="208" ht="15.75" customHeight="1">
      <c r="I208" s="187"/>
      <c r="J208" s="187"/>
      <c r="K208" s="187"/>
    </row>
    <row r="209" ht="15.75" customHeight="1">
      <c r="I209" s="187"/>
      <c r="J209" s="187"/>
      <c r="K209" s="187"/>
    </row>
    <row r="210" ht="15.75" customHeight="1">
      <c r="I210" s="187"/>
      <c r="J210" s="187"/>
      <c r="K210" s="187"/>
    </row>
    <row r="211" ht="15.75" customHeight="1">
      <c r="I211" s="187"/>
      <c r="J211" s="187"/>
      <c r="K211" s="187"/>
    </row>
    <row r="212" ht="15.75" customHeight="1">
      <c r="I212" s="187"/>
      <c r="J212" s="187"/>
      <c r="K212" s="187"/>
    </row>
    <row r="213" ht="15.75" customHeight="1">
      <c r="I213" s="187"/>
      <c r="J213" s="187"/>
      <c r="K213" s="187"/>
    </row>
    <row r="214" ht="15.75" customHeight="1">
      <c r="I214" s="187"/>
      <c r="J214" s="187"/>
      <c r="K214" s="187"/>
    </row>
    <row r="215" ht="15.75" customHeight="1">
      <c r="I215" s="187"/>
      <c r="J215" s="187"/>
      <c r="K215" s="187"/>
    </row>
    <row r="216" ht="15.75" customHeight="1">
      <c r="I216" s="187"/>
      <c r="J216" s="187"/>
      <c r="K216" s="187"/>
    </row>
    <row r="217" ht="15.75" customHeight="1">
      <c r="I217" s="187"/>
      <c r="J217" s="187"/>
      <c r="K217" s="187"/>
    </row>
    <row r="218" ht="15.75" customHeight="1">
      <c r="I218" s="187"/>
      <c r="J218" s="187"/>
      <c r="K218" s="187"/>
    </row>
    <row r="219" ht="15.75" customHeight="1">
      <c r="I219" s="187"/>
      <c r="J219" s="187"/>
      <c r="K219" s="187"/>
    </row>
    <row r="220" ht="15.75" customHeight="1">
      <c r="I220" s="187"/>
      <c r="J220" s="187"/>
      <c r="K220" s="187"/>
    </row>
    <row r="221" ht="15.75" customHeight="1">
      <c r="I221" s="187"/>
      <c r="J221" s="187"/>
      <c r="K221" s="187"/>
    </row>
    <row r="222" ht="15.75" customHeight="1">
      <c r="I222" s="187"/>
      <c r="J222" s="187"/>
      <c r="K222" s="187"/>
    </row>
    <row r="223" ht="15.75" customHeight="1">
      <c r="I223" s="187"/>
      <c r="J223" s="187"/>
      <c r="K223" s="187"/>
    </row>
    <row r="224" ht="15.75" customHeight="1">
      <c r="I224" s="187"/>
      <c r="J224" s="187"/>
      <c r="K224" s="187"/>
    </row>
    <row r="225" ht="15.75" customHeight="1">
      <c r="I225" s="187"/>
      <c r="J225" s="187"/>
      <c r="K225" s="187"/>
    </row>
    <row r="226" ht="15.75" customHeight="1">
      <c r="I226" s="187"/>
      <c r="J226" s="187"/>
      <c r="K226" s="187"/>
    </row>
    <row r="227" ht="15.75" customHeight="1">
      <c r="I227" s="187"/>
      <c r="J227" s="187"/>
      <c r="K227" s="187"/>
    </row>
    <row r="228" ht="15.75" customHeight="1">
      <c r="I228" s="187"/>
      <c r="J228" s="187"/>
      <c r="K228" s="187"/>
    </row>
    <row r="229" ht="15.75" customHeight="1">
      <c r="I229" s="187"/>
      <c r="J229" s="187"/>
      <c r="K229" s="187"/>
    </row>
    <row r="230" ht="15.75" customHeight="1">
      <c r="I230" s="187"/>
      <c r="J230" s="187"/>
      <c r="K230" s="187"/>
    </row>
    <row r="231" ht="15.75" customHeight="1">
      <c r="I231" s="187"/>
      <c r="J231" s="187"/>
      <c r="K231" s="187"/>
    </row>
    <row r="232" ht="15.75" customHeight="1">
      <c r="I232" s="187"/>
      <c r="J232" s="187"/>
      <c r="K232" s="187"/>
    </row>
    <row r="233" ht="15.75" customHeight="1">
      <c r="I233" s="187"/>
      <c r="J233" s="187"/>
      <c r="K233" s="187"/>
    </row>
    <row r="234" ht="15.75" customHeight="1">
      <c r="I234" s="187"/>
      <c r="J234" s="187"/>
      <c r="K234" s="187"/>
    </row>
    <row r="235" ht="15.75" customHeight="1">
      <c r="I235" s="187"/>
      <c r="J235" s="187"/>
      <c r="K235" s="187"/>
    </row>
    <row r="236" ht="15.75" customHeight="1">
      <c r="I236" s="187"/>
      <c r="J236" s="187"/>
      <c r="K236" s="187"/>
    </row>
    <row r="237" ht="15.75" customHeight="1">
      <c r="I237" s="187"/>
      <c r="J237" s="187"/>
      <c r="K237" s="187"/>
    </row>
    <row r="238" ht="15.75" customHeight="1">
      <c r="I238" s="187"/>
      <c r="J238" s="187"/>
      <c r="K238" s="187"/>
    </row>
    <row r="239" ht="15.75" customHeight="1">
      <c r="I239" s="187"/>
      <c r="J239" s="187"/>
      <c r="K239" s="187"/>
    </row>
    <row r="240" ht="15.75" customHeight="1">
      <c r="I240" s="187"/>
      <c r="J240" s="187"/>
      <c r="K240" s="187"/>
    </row>
    <row r="241" ht="15.75" customHeight="1">
      <c r="I241" s="187"/>
      <c r="J241" s="187"/>
      <c r="K241" s="187"/>
    </row>
    <row r="242" ht="15.75" customHeight="1">
      <c r="I242" s="187"/>
      <c r="J242" s="187"/>
      <c r="K242" s="187"/>
    </row>
    <row r="243" ht="15.75" customHeight="1">
      <c r="I243" s="187"/>
      <c r="J243" s="187"/>
      <c r="K243" s="187"/>
    </row>
    <row r="244" ht="15.75" customHeight="1">
      <c r="I244" s="187"/>
      <c r="J244" s="187"/>
      <c r="K244" s="187"/>
    </row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  <tableParts count="3">
    <tablePart r:id="rId5"/>
    <tablePart r:id="rId6"/>
    <tablePart r:id="rId7"/>
  </tableParts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FF"/>
    <outlinePr summaryBelow="0" summaryRight="0"/>
    <pageSetUpPr/>
  </sheetPr>
  <sheetViews>
    <sheetView showGridLines="0" workbookViewId="0"/>
  </sheetViews>
  <sheetFormatPr customHeight="1" defaultColWidth="14.43" defaultRowHeight="15.0"/>
  <cols>
    <col customWidth="1" min="1" max="1" width="5.14"/>
    <col customWidth="1" min="2" max="2" width="20.57"/>
    <col customWidth="1" min="3" max="3" width="18.71"/>
    <col customWidth="1" min="4" max="4" width="14.0"/>
    <col customWidth="1" min="5" max="5" width="10.57"/>
    <col customWidth="1" min="6" max="6" width="29.14"/>
    <col customWidth="1" min="7" max="11" width="19.57"/>
  </cols>
  <sheetData>
    <row r="1" ht="22.5" customHeight="1">
      <c r="A1" s="202"/>
      <c r="B1" s="203"/>
      <c r="C1" s="204"/>
      <c r="D1" s="205"/>
      <c r="E1" s="205"/>
      <c r="F1" s="205"/>
      <c r="G1" s="205"/>
      <c r="H1" s="205"/>
      <c r="I1" s="205"/>
      <c r="J1" s="205"/>
      <c r="K1" s="205"/>
    </row>
    <row r="2" ht="30.0" customHeight="1">
      <c r="A2" s="206"/>
      <c r="B2" s="207" t="s">
        <v>101</v>
      </c>
      <c r="C2" s="56"/>
      <c r="D2" s="57"/>
      <c r="E2" s="208"/>
      <c r="F2" s="208"/>
      <c r="G2" s="208"/>
      <c r="H2" s="208"/>
      <c r="I2" s="208"/>
      <c r="J2" s="208"/>
      <c r="K2" s="208"/>
    </row>
    <row r="3" ht="43.5" customHeight="1">
      <c r="A3" s="209"/>
      <c r="B3" s="210" t="s">
        <v>102</v>
      </c>
      <c r="C3" s="56"/>
      <c r="D3" s="57"/>
      <c r="E3" s="211"/>
      <c r="F3" s="211"/>
      <c r="G3" s="211"/>
      <c r="H3" s="211"/>
      <c r="I3" s="211"/>
      <c r="J3" s="211"/>
      <c r="K3" s="211"/>
    </row>
    <row r="4" ht="26.25" customHeight="1">
      <c r="A4" s="212"/>
      <c r="B4" s="213" t="s">
        <v>103</v>
      </c>
      <c r="C4" s="214" t="s">
        <v>104</v>
      </c>
      <c r="D4" s="215" t="s">
        <v>105</v>
      </c>
      <c r="E4" s="216" t="s">
        <v>106</v>
      </c>
      <c r="F4" s="216" t="s">
        <v>107</v>
      </c>
      <c r="G4" s="217"/>
      <c r="H4" s="217"/>
      <c r="I4" s="217"/>
      <c r="J4" s="217"/>
      <c r="K4" s="217"/>
    </row>
    <row r="5" ht="16.5" customHeight="1">
      <c r="A5" s="218"/>
      <c r="B5" s="219" t="s">
        <v>94</v>
      </c>
      <c r="C5" s="220">
        <v>43999.0</v>
      </c>
      <c r="D5" s="221">
        <v>1099.71</v>
      </c>
      <c r="E5" s="222" t="s">
        <v>108</v>
      </c>
      <c r="F5" s="187" t="s">
        <v>109</v>
      </c>
      <c r="G5" s="187"/>
      <c r="H5" s="187"/>
      <c r="I5" s="187"/>
      <c r="J5" s="187"/>
      <c r="K5" s="187"/>
    </row>
    <row r="6" ht="16.5" customHeight="1">
      <c r="A6" s="223"/>
      <c r="B6" s="224" t="s">
        <v>95</v>
      </c>
      <c r="C6" s="225">
        <v>44004.0</v>
      </c>
      <c r="D6" s="226">
        <v>415.32</v>
      </c>
      <c r="E6" s="227" t="s">
        <v>108</v>
      </c>
      <c r="F6" s="194" t="s">
        <v>110</v>
      </c>
      <c r="G6" s="194"/>
      <c r="H6" s="194"/>
      <c r="I6" s="194"/>
      <c r="J6" s="194"/>
      <c r="K6" s="194"/>
    </row>
    <row r="7" ht="16.5" customHeight="1">
      <c r="A7" s="228"/>
      <c r="B7" s="229" t="s">
        <v>87</v>
      </c>
      <c r="C7" s="220">
        <v>44014.0</v>
      </c>
      <c r="D7" s="221">
        <v>132.5</v>
      </c>
      <c r="E7" s="222" t="s">
        <v>108</v>
      </c>
      <c r="F7" s="187" t="s">
        <v>111</v>
      </c>
      <c r="G7" s="187"/>
      <c r="H7" s="187"/>
      <c r="I7" s="187"/>
      <c r="J7" s="187"/>
      <c r="K7" s="187"/>
    </row>
    <row r="8" ht="16.5" customHeight="1">
      <c r="A8" s="223"/>
      <c r="B8" s="224" t="s">
        <v>81</v>
      </c>
      <c r="C8" s="225">
        <v>44015.0</v>
      </c>
      <c r="D8" s="226">
        <v>386.15</v>
      </c>
      <c r="E8" s="227" t="s">
        <v>108</v>
      </c>
      <c r="F8" s="194" t="s">
        <v>112</v>
      </c>
      <c r="G8" s="194"/>
      <c r="H8" s="194"/>
      <c r="I8" s="194"/>
      <c r="J8" s="194"/>
      <c r="K8" s="194"/>
    </row>
    <row r="9" ht="16.5" customHeight="1">
      <c r="A9" s="228"/>
      <c r="B9" s="229" t="s">
        <v>83</v>
      </c>
      <c r="C9" s="220">
        <v>44015.0</v>
      </c>
      <c r="D9" s="221">
        <v>370.19</v>
      </c>
      <c r="E9" s="222" t="s">
        <v>108</v>
      </c>
      <c r="F9" s="187" t="s">
        <v>113</v>
      </c>
      <c r="G9" s="187"/>
      <c r="H9" s="187"/>
      <c r="I9" s="187"/>
      <c r="J9" s="187"/>
      <c r="K9" s="187"/>
    </row>
    <row r="10" ht="16.5" customHeight="1">
      <c r="A10" s="223"/>
      <c r="B10" s="230" t="s">
        <v>96</v>
      </c>
      <c r="C10" s="225">
        <v>44016.0</v>
      </c>
      <c r="D10" s="226">
        <v>957.38</v>
      </c>
      <c r="E10" s="227" t="s">
        <v>108</v>
      </c>
      <c r="F10" s="194" t="s">
        <v>114</v>
      </c>
      <c r="G10" s="194"/>
      <c r="H10" s="194"/>
      <c r="I10" s="194"/>
      <c r="J10" s="194"/>
      <c r="K10" s="194"/>
    </row>
    <row r="11" ht="16.5" customHeight="1">
      <c r="A11" s="228"/>
      <c r="B11" s="229" t="s">
        <v>89</v>
      </c>
      <c r="C11" s="220">
        <v>44016.0</v>
      </c>
      <c r="D11" s="221">
        <v>20.0</v>
      </c>
      <c r="E11" s="222" t="s">
        <v>108</v>
      </c>
      <c r="F11" s="187" t="s">
        <v>115</v>
      </c>
      <c r="G11" s="187"/>
      <c r="H11" s="187"/>
      <c r="I11" s="187"/>
      <c r="J11" s="187"/>
      <c r="K11" s="187"/>
    </row>
    <row r="12" ht="16.5" customHeight="1">
      <c r="A12" s="223"/>
      <c r="B12" s="230" t="s">
        <v>96</v>
      </c>
      <c r="C12" s="225">
        <v>44017.0</v>
      </c>
      <c r="D12" s="226">
        <v>957.38</v>
      </c>
      <c r="E12" s="227" t="s">
        <v>108</v>
      </c>
      <c r="F12" s="194" t="s">
        <v>116</v>
      </c>
      <c r="G12" s="194"/>
      <c r="H12" s="194"/>
      <c r="I12" s="194"/>
      <c r="J12" s="194"/>
      <c r="K12" s="194"/>
    </row>
    <row r="13" ht="16.5" customHeight="1">
      <c r="A13" s="228"/>
      <c r="B13" s="229" t="s">
        <v>71</v>
      </c>
      <c r="C13" s="220">
        <v>44025.0</v>
      </c>
      <c r="D13" s="221">
        <v>900.0</v>
      </c>
      <c r="E13" s="222" t="s">
        <v>108</v>
      </c>
      <c r="F13" s="187" t="s">
        <v>117</v>
      </c>
      <c r="G13" s="187"/>
      <c r="H13" s="187"/>
      <c r="I13" s="187"/>
      <c r="J13" s="187"/>
      <c r="K13" s="187"/>
    </row>
    <row r="14" ht="16.5" customHeight="1">
      <c r="A14" s="223"/>
      <c r="B14" s="230" t="s">
        <v>81</v>
      </c>
      <c r="C14" s="225">
        <v>44025.0</v>
      </c>
      <c r="D14" s="226">
        <v>15.0</v>
      </c>
      <c r="E14" s="227" t="s">
        <v>108</v>
      </c>
      <c r="F14" s="194" t="s">
        <v>118</v>
      </c>
      <c r="G14" s="194"/>
      <c r="H14" s="194"/>
      <c r="I14" s="194"/>
      <c r="J14" s="194"/>
      <c r="K14" s="194"/>
    </row>
    <row r="15" ht="16.5" customHeight="1">
      <c r="A15" s="228"/>
      <c r="B15" s="229" t="s">
        <v>83</v>
      </c>
      <c r="C15" s="220">
        <v>44029.0</v>
      </c>
      <c r="D15" s="221">
        <v>792.95</v>
      </c>
      <c r="E15" s="222" t="s">
        <v>108</v>
      </c>
      <c r="F15" s="187" t="s">
        <v>119</v>
      </c>
      <c r="G15" s="187"/>
      <c r="H15" s="187"/>
      <c r="I15" s="187"/>
      <c r="J15" s="187"/>
      <c r="K15" s="187"/>
    </row>
    <row r="16" ht="16.5" customHeight="1">
      <c r="A16" s="223"/>
      <c r="B16" s="230" t="s">
        <v>83</v>
      </c>
      <c r="C16" s="225">
        <v>44029.0</v>
      </c>
      <c r="D16" s="226">
        <v>27.45</v>
      </c>
      <c r="E16" s="227" t="s">
        <v>108</v>
      </c>
      <c r="F16" s="194" t="s">
        <v>120</v>
      </c>
      <c r="G16" s="194"/>
      <c r="H16" s="194"/>
      <c r="I16" s="194"/>
      <c r="J16" s="194"/>
      <c r="K16" s="194"/>
    </row>
    <row r="17" ht="16.5" customHeight="1">
      <c r="A17" s="228"/>
      <c r="B17" s="229" t="s">
        <v>87</v>
      </c>
      <c r="C17" s="220">
        <v>44029.0</v>
      </c>
      <c r="D17" s="221">
        <v>17.98</v>
      </c>
      <c r="E17" s="222" t="s">
        <v>108</v>
      </c>
      <c r="F17" s="187" t="s">
        <v>121</v>
      </c>
      <c r="G17" s="187"/>
      <c r="H17" s="187"/>
      <c r="I17" s="187"/>
      <c r="J17" s="187"/>
      <c r="K17" s="187"/>
    </row>
    <row r="18" ht="16.5" customHeight="1">
      <c r="A18" s="223"/>
      <c r="B18" s="230" t="s">
        <v>83</v>
      </c>
      <c r="C18" s="225">
        <v>44030.0</v>
      </c>
      <c r="D18" s="226">
        <v>300.74</v>
      </c>
      <c r="E18" s="227" t="s">
        <v>108</v>
      </c>
      <c r="F18" s="194" t="s">
        <v>122</v>
      </c>
      <c r="G18" s="194"/>
      <c r="H18" s="194"/>
      <c r="I18" s="194"/>
      <c r="J18" s="194"/>
      <c r="K18" s="194"/>
    </row>
    <row r="19" ht="16.5" customHeight="1">
      <c r="A19" s="228"/>
      <c r="B19" s="229" t="s">
        <v>83</v>
      </c>
      <c r="C19" s="220">
        <v>44031.0</v>
      </c>
      <c r="D19" s="221">
        <v>749.69</v>
      </c>
      <c r="E19" s="222" t="s">
        <v>108</v>
      </c>
      <c r="F19" s="187" t="s">
        <v>123</v>
      </c>
      <c r="G19" s="187"/>
      <c r="H19" s="187"/>
      <c r="I19" s="187"/>
      <c r="J19" s="187"/>
      <c r="K19" s="187"/>
    </row>
    <row r="20" ht="16.5" customHeight="1">
      <c r="A20" s="223"/>
      <c r="B20" s="230" t="s">
        <v>81</v>
      </c>
      <c r="C20" s="225">
        <v>44033.0</v>
      </c>
      <c r="D20" s="226">
        <v>99.0</v>
      </c>
      <c r="E20" s="227" t="s">
        <v>108</v>
      </c>
      <c r="F20" s="194" t="s">
        <v>124</v>
      </c>
      <c r="G20" s="194"/>
      <c r="H20" s="194"/>
      <c r="I20" s="194"/>
      <c r="J20" s="194"/>
      <c r="K20" s="194"/>
    </row>
    <row r="21" ht="16.5" customHeight="1">
      <c r="A21" s="228"/>
      <c r="B21" s="229" t="s">
        <v>87</v>
      </c>
      <c r="C21" s="220">
        <v>44033.0</v>
      </c>
      <c r="D21" s="221">
        <v>130.0</v>
      </c>
      <c r="E21" s="222" t="s">
        <v>108</v>
      </c>
      <c r="F21" s="187" t="s">
        <v>125</v>
      </c>
      <c r="G21" s="187"/>
      <c r="H21" s="187"/>
      <c r="I21" s="187"/>
      <c r="J21" s="187"/>
      <c r="K21" s="187"/>
    </row>
    <row r="22" ht="16.5" customHeight="1">
      <c r="A22" s="223"/>
      <c r="B22" s="230" t="s">
        <v>89</v>
      </c>
      <c r="C22" s="225">
        <v>44033.0</v>
      </c>
      <c r="D22" s="226">
        <v>10.0</v>
      </c>
      <c r="E22" s="227" t="s">
        <v>108</v>
      </c>
      <c r="F22" s="194" t="s">
        <v>115</v>
      </c>
      <c r="G22" s="194"/>
      <c r="H22" s="194"/>
      <c r="I22" s="194"/>
      <c r="J22" s="194"/>
      <c r="K22" s="194"/>
    </row>
    <row r="23" ht="16.5" customHeight="1">
      <c r="A23" s="228"/>
      <c r="B23" s="229" t="s">
        <v>81</v>
      </c>
      <c r="C23" s="220">
        <v>44034.0</v>
      </c>
      <c r="D23" s="221">
        <v>155.88</v>
      </c>
      <c r="E23" s="222" t="s">
        <v>108</v>
      </c>
      <c r="F23" s="187" t="s">
        <v>126</v>
      </c>
      <c r="G23" s="187"/>
      <c r="H23" s="187"/>
      <c r="I23" s="187"/>
      <c r="J23" s="187"/>
      <c r="K23" s="187"/>
    </row>
    <row r="24" ht="16.5" customHeight="1">
      <c r="A24" s="223"/>
      <c r="B24" s="230" t="s">
        <v>83</v>
      </c>
      <c r="C24" s="225">
        <v>44038.0</v>
      </c>
      <c r="D24" s="226">
        <v>97.16</v>
      </c>
      <c r="E24" s="227" t="s">
        <v>108</v>
      </c>
      <c r="F24" s="194" t="s">
        <v>127</v>
      </c>
      <c r="G24" s="194"/>
      <c r="H24" s="194"/>
      <c r="I24" s="194"/>
      <c r="J24" s="194"/>
      <c r="K24" s="194"/>
    </row>
    <row r="25" ht="16.5" customHeight="1">
      <c r="A25" s="228"/>
      <c r="B25" s="229" t="s">
        <v>89</v>
      </c>
      <c r="C25" s="220">
        <v>44041.0</v>
      </c>
      <c r="D25" s="221">
        <v>30.0</v>
      </c>
      <c r="E25" s="222" t="s">
        <v>108</v>
      </c>
      <c r="F25" s="187" t="s">
        <v>115</v>
      </c>
      <c r="G25" s="187"/>
      <c r="H25" s="187"/>
      <c r="I25" s="187"/>
      <c r="J25" s="187"/>
      <c r="K25" s="187"/>
    </row>
    <row r="26" ht="16.5" customHeight="1">
      <c r="A26" s="223"/>
      <c r="B26" s="230" t="s">
        <v>81</v>
      </c>
      <c r="C26" s="225">
        <v>44043.0</v>
      </c>
      <c r="D26" s="226">
        <v>100.0</v>
      </c>
      <c r="E26" s="227" t="s">
        <v>108</v>
      </c>
      <c r="F26" s="194" t="s">
        <v>118</v>
      </c>
      <c r="G26" s="194"/>
      <c r="H26" s="194"/>
      <c r="I26" s="194"/>
      <c r="J26" s="194"/>
      <c r="K26" s="194"/>
    </row>
    <row r="27" ht="16.5" customHeight="1">
      <c r="A27" s="228"/>
      <c r="B27" s="229" t="s">
        <v>87</v>
      </c>
      <c r="C27" s="220">
        <v>44045.0</v>
      </c>
      <c r="D27" s="221">
        <v>150.0</v>
      </c>
      <c r="E27" s="222" t="s">
        <v>108</v>
      </c>
      <c r="F27" s="187" t="s">
        <v>111</v>
      </c>
      <c r="G27" s="187"/>
      <c r="H27" s="187"/>
      <c r="I27" s="187"/>
      <c r="J27" s="187"/>
      <c r="K27" s="187"/>
    </row>
    <row r="28" ht="16.5" customHeight="1">
      <c r="A28" s="223"/>
      <c r="B28" s="230" t="s">
        <v>83</v>
      </c>
      <c r="C28" s="225">
        <v>44045.0</v>
      </c>
      <c r="D28" s="226">
        <v>599.19</v>
      </c>
      <c r="E28" s="227" t="s">
        <v>108</v>
      </c>
      <c r="F28" s="194" t="s">
        <v>128</v>
      </c>
      <c r="G28" s="194"/>
      <c r="H28" s="194"/>
      <c r="I28" s="194"/>
      <c r="J28" s="194"/>
      <c r="K28" s="194"/>
    </row>
    <row r="29" ht="16.5" customHeight="1">
      <c r="A29" s="228"/>
      <c r="B29" s="229" t="s">
        <v>81</v>
      </c>
      <c r="C29" s="220">
        <v>44047.0</v>
      </c>
      <c r="D29" s="221">
        <v>395.45</v>
      </c>
      <c r="E29" s="222" t="s">
        <v>108</v>
      </c>
      <c r="F29" s="187" t="s">
        <v>129</v>
      </c>
      <c r="G29" s="187"/>
      <c r="H29" s="187"/>
      <c r="I29" s="187"/>
      <c r="J29" s="187"/>
      <c r="K29" s="187"/>
    </row>
    <row r="30" ht="16.5" customHeight="1">
      <c r="A30" s="231"/>
      <c r="B30" s="232" t="s">
        <v>81</v>
      </c>
      <c r="C30" s="225">
        <v>44047.0</v>
      </c>
      <c r="D30" s="226">
        <v>269.7</v>
      </c>
      <c r="E30" s="227" t="s">
        <v>108</v>
      </c>
      <c r="F30" s="194" t="s">
        <v>130</v>
      </c>
      <c r="G30" s="194"/>
      <c r="H30" s="194"/>
      <c r="I30" s="194"/>
      <c r="J30" s="194"/>
      <c r="K30" s="194"/>
    </row>
    <row r="31" ht="16.5" customHeight="1">
      <c r="A31" s="233"/>
      <c r="B31" s="74" t="s">
        <v>87</v>
      </c>
      <c r="C31" s="220">
        <v>44053.0</v>
      </c>
      <c r="D31" s="221">
        <v>960.0</v>
      </c>
      <c r="E31" s="222" t="s">
        <v>108</v>
      </c>
      <c r="F31" s="187" t="s">
        <v>131</v>
      </c>
      <c r="G31" s="187"/>
      <c r="H31" s="187"/>
      <c r="I31" s="187"/>
      <c r="J31" s="187"/>
      <c r="K31" s="187"/>
    </row>
    <row r="32" ht="16.5" customHeight="1">
      <c r="A32" s="234"/>
      <c r="B32" s="235" t="s">
        <v>83</v>
      </c>
      <c r="C32" s="225">
        <v>44055.0</v>
      </c>
      <c r="D32" s="226">
        <v>48.45</v>
      </c>
      <c r="E32" s="227" t="s">
        <v>108</v>
      </c>
      <c r="F32" s="194" t="s">
        <v>132</v>
      </c>
      <c r="G32" s="194"/>
      <c r="H32" s="194"/>
      <c r="I32" s="194"/>
      <c r="J32" s="194"/>
      <c r="K32" s="194"/>
    </row>
    <row r="33" ht="16.5" customHeight="1">
      <c r="A33" s="233"/>
      <c r="B33" s="74" t="s">
        <v>83</v>
      </c>
      <c r="C33" s="220">
        <v>44055.0</v>
      </c>
      <c r="D33" s="221">
        <v>56.9</v>
      </c>
      <c r="E33" s="222" t="s">
        <v>108</v>
      </c>
      <c r="F33" s="187" t="s">
        <v>133</v>
      </c>
      <c r="G33" s="187"/>
      <c r="H33" s="187"/>
      <c r="I33" s="187"/>
      <c r="J33" s="187"/>
      <c r="K33" s="187"/>
    </row>
    <row r="34" ht="16.5" customHeight="1">
      <c r="A34" s="234"/>
      <c r="B34" s="235" t="s">
        <v>83</v>
      </c>
      <c r="C34" s="225">
        <v>44055.0</v>
      </c>
      <c r="D34" s="226">
        <v>56.0</v>
      </c>
      <c r="E34" s="227" t="s">
        <v>108</v>
      </c>
      <c r="F34" s="194" t="s">
        <v>134</v>
      </c>
      <c r="G34" s="194"/>
      <c r="H34" s="194"/>
      <c r="I34" s="194"/>
      <c r="J34" s="194"/>
      <c r="K34" s="194"/>
    </row>
    <row r="35" ht="16.5" customHeight="1">
      <c r="A35" s="233"/>
      <c r="B35" s="74" t="s">
        <v>83</v>
      </c>
      <c r="C35" s="220">
        <v>44055.0</v>
      </c>
      <c r="D35" s="221">
        <v>671.25</v>
      </c>
      <c r="E35" s="222" t="s">
        <v>108</v>
      </c>
      <c r="F35" s="187" t="s">
        <v>135</v>
      </c>
      <c r="G35" s="187"/>
      <c r="H35" s="187"/>
      <c r="I35" s="187"/>
      <c r="J35" s="187"/>
      <c r="K35" s="187"/>
    </row>
    <row r="36" ht="16.5" customHeight="1">
      <c r="A36" s="234"/>
      <c r="B36" s="235" t="s">
        <v>83</v>
      </c>
      <c r="C36" s="225">
        <v>44055.0</v>
      </c>
      <c r="D36" s="226">
        <v>32.41</v>
      </c>
      <c r="E36" s="227" t="s">
        <v>108</v>
      </c>
      <c r="F36" s="194" t="s">
        <v>136</v>
      </c>
      <c r="G36" s="194"/>
      <c r="H36" s="194"/>
      <c r="I36" s="194"/>
      <c r="J36" s="194"/>
      <c r="K36" s="194"/>
    </row>
    <row r="37" ht="16.5" customHeight="1">
      <c r="A37" s="233"/>
      <c r="B37" s="74" t="s">
        <v>81</v>
      </c>
      <c r="C37" s="220">
        <v>44058.0</v>
      </c>
      <c r="D37" s="221">
        <v>41.0</v>
      </c>
      <c r="E37" s="222" t="s">
        <v>108</v>
      </c>
      <c r="F37" s="187" t="s">
        <v>137</v>
      </c>
      <c r="G37" s="187"/>
      <c r="H37" s="187"/>
      <c r="I37" s="187"/>
      <c r="J37" s="187"/>
      <c r="K37" s="187"/>
    </row>
    <row r="38" ht="16.5" customHeight="1">
      <c r="A38" s="234"/>
      <c r="B38" s="235" t="s">
        <v>81</v>
      </c>
      <c r="C38" s="225">
        <v>44058.0</v>
      </c>
      <c r="D38" s="226">
        <v>194.45</v>
      </c>
      <c r="E38" s="227" t="s">
        <v>108</v>
      </c>
      <c r="F38" s="194" t="s">
        <v>138</v>
      </c>
      <c r="G38" s="194"/>
      <c r="H38" s="194"/>
      <c r="I38" s="194"/>
      <c r="J38" s="194"/>
      <c r="K38" s="194"/>
    </row>
    <row r="39" ht="16.5" customHeight="1">
      <c r="A39" s="233"/>
      <c r="B39" s="74" t="s">
        <v>83</v>
      </c>
      <c r="C39" s="220">
        <v>44058.0</v>
      </c>
      <c r="D39" s="221">
        <v>194.3</v>
      </c>
      <c r="E39" s="222" t="s">
        <v>108</v>
      </c>
      <c r="F39" s="187" t="s">
        <v>139</v>
      </c>
      <c r="G39" s="187"/>
      <c r="H39" s="187"/>
      <c r="I39" s="187"/>
      <c r="J39" s="187"/>
      <c r="K39" s="187"/>
    </row>
    <row r="40" ht="16.5" customHeight="1">
      <c r="A40" s="234"/>
      <c r="B40" s="235" t="s">
        <v>140</v>
      </c>
      <c r="C40" s="225">
        <v>44063.0</v>
      </c>
      <c r="D40" s="226">
        <v>90.0</v>
      </c>
      <c r="E40" s="227" t="s">
        <v>108</v>
      </c>
      <c r="F40" s="194" t="s">
        <v>141</v>
      </c>
      <c r="G40" s="194"/>
      <c r="H40" s="194"/>
      <c r="I40" s="194"/>
      <c r="J40" s="194"/>
      <c r="K40" s="194"/>
    </row>
    <row r="41" ht="16.5" customHeight="1">
      <c r="A41" s="233"/>
      <c r="B41" s="74" t="s">
        <v>97</v>
      </c>
      <c r="C41" s="220">
        <v>44066.0</v>
      </c>
      <c r="D41" s="221">
        <v>28.98</v>
      </c>
      <c r="E41" s="222" t="s">
        <v>108</v>
      </c>
      <c r="F41" s="187" t="s">
        <v>142</v>
      </c>
      <c r="G41" s="187"/>
      <c r="H41" s="187"/>
      <c r="I41" s="187"/>
      <c r="J41" s="187"/>
      <c r="K41" s="187"/>
    </row>
    <row r="42" ht="16.5" customHeight="1">
      <c r="A42" s="234"/>
      <c r="B42" s="235" t="s">
        <v>87</v>
      </c>
      <c r="C42" s="225">
        <v>44067.0</v>
      </c>
      <c r="D42" s="226">
        <v>70.0</v>
      </c>
      <c r="E42" s="227" t="s">
        <v>108</v>
      </c>
      <c r="F42" s="194" t="s">
        <v>143</v>
      </c>
      <c r="G42" s="194"/>
      <c r="H42" s="194"/>
      <c r="I42" s="194"/>
      <c r="J42" s="194"/>
      <c r="K42" s="194"/>
    </row>
    <row r="43" ht="16.5" customHeight="1">
      <c r="A43" s="233"/>
      <c r="B43" s="74" t="s">
        <v>83</v>
      </c>
      <c r="C43" s="220">
        <v>44068.0</v>
      </c>
      <c r="D43" s="221">
        <v>35.91</v>
      </c>
      <c r="E43" s="222" t="s">
        <v>108</v>
      </c>
      <c r="F43" s="187" t="s">
        <v>144</v>
      </c>
      <c r="G43" s="187"/>
      <c r="H43" s="187"/>
      <c r="I43" s="187"/>
      <c r="J43" s="187"/>
      <c r="K43" s="187"/>
    </row>
    <row r="44" ht="16.5" customHeight="1">
      <c r="A44" s="234"/>
      <c r="B44" s="235" t="s">
        <v>83</v>
      </c>
      <c r="C44" s="225">
        <v>44068.0</v>
      </c>
      <c r="D44" s="226">
        <v>221.1</v>
      </c>
      <c r="E44" s="227" t="s">
        <v>108</v>
      </c>
      <c r="F44" s="194" t="s">
        <v>145</v>
      </c>
      <c r="G44" s="194"/>
      <c r="H44" s="194"/>
      <c r="I44" s="194"/>
      <c r="J44" s="194"/>
      <c r="K44" s="194"/>
    </row>
    <row r="45" ht="16.5" customHeight="1">
      <c r="A45" s="233"/>
      <c r="B45" s="74" t="s">
        <v>83</v>
      </c>
      <c r="C45" s="220">
        <v>44068.0</v>
      </c>
      <c r="D45" s="221">
        <v>151.33</v>
      </c>
      <c r="E45" s="222" t="s">
        <v>108</v>
      </c>
      <c r="F45" s="187" t="s">
        <v>146</v>
      </c>
      <c r="G45" s="187"/>
      <c r="H45" s="187"/>
      <c r="I45" s="187"/>
      <c r="J45" s="187"/>
      <c r="K45" s="187"/>
    </row>
    <row r="46" ht="16.5" customHeight="1">
      <c r="A46" s="234"/>
      <c r="B46" s="235" t="s">
        <v>87</v>
      </c>
      <c r="C46" s="225">
        <v>44075.0</v>
      </c>
      <c r="D46" s="226">
        <v>39.0</v>
      </c>
      <c r="E46" s="227" t="s">
        <v>108</v>
      </c>
      <c r="F46" s="194" t="s">
        <v>115</v>
      </c>
      <c r="G46" s="194"/>
      <c r="H46" s="194"/>
      <c r="I46" s="194"/>
      <c r="J46" s="194"/>
      <c r="K46" s="194"/>
    </row>
    <row r="47" ht="16.5" customHeight="1">
      <c r="A47" s="233"/>
      <c r="B47" s="74" t="s">
        <v>87</v>
      </c>
      <c r="C47" s="220">
        <v>44075.0</v>
      </c>
      <c r="D47" s="221">
        <v>300.0</v>
      </c>
      <c r="E47" s="222" t="s">
        <v>108</v>
      </c>
      <c r="F47" s="187" t="s">
        <v>111</v>
      </c>
      <c r="G47" s="187"/>
      <c r="H47" s="187"/>
      <c r="I47" s="187"/>
      <c r="J47" s="187"/>
      <c r="K47" s="187"/>
    </row>
    <row r="48" ht="16.5" customHeight="1">
      <c r="A48" s="234"/>
      <c r="B48" s="235" t="s">
        <v>86</v>
      </c>
      <c r="C48" s="225">
        <v>44080.0</v>
      </c>
      <c r="D48" s="226">
        <v>100.0</v>
      </c>
      <c r="E48" s="227" t="s">
        <v>108</v>
      </c>
      <c r="F48" s="194" t="s">
        <v>147</v>
      </c>
      <c r="G48" s="194"/>
      <c r="H48" s="194"/>
      <c r="I48" s="194"/>
      <c r="J48" s="194"/>
      <c r="K48" s="194"/>
    </row>
    <row r="49" ht="16.5" customHeight="1">
      <c r="A49" s="233"/>
      <c r="B49" s="74" t="s">
        <v>86</v>
      </c>
      <c r="C49" s="220">
        <v>44080.0</v>
      </c>
      <c r="D49" s="221">
        <v>50.0</v>
      </c>
      <c r="E49" s="222" t="s">
        <v>108</v>
      </c>
      <c r="F49" s="187" t="s">
        <v>148</v>
      </c>
      <c r="G49" s="187"/>
      <c r="H49" s="187"/>
      <c r="I49" s="187"/>
      <c r="J49" s="187"/>
      <c r="K49" s="187"/>
    </row>
    <row r="50" ht="16.5" customHeight="1">
      <c r="A50" s="234"/>
      <c r="B50" s="235" t="s">
        <v>86</v>
      </c>
      <c r="C50" s="225">
        <v>44080.0</v>
      </c>
      <c r="D50" s="226">
        <v>100.0</v>
      </c>
      <c r="E50" s="227" t="s">
        <v>108</v>
      </c>
      <c r="F50" s="194" t="s">
        <v>149</v>
      </c>
      <c r="G50" s="194"/>
      <c r="H50" s="194"/>
      <c r="I50" s="194"/>
      <c r="J50" s="194"/>
      <c r="K50" s="194"/>
    </row>
    <row r="51" ht="16.5" customHeight="1">
      <c r="A51" s="233"/>
      <c r="B51" s="74" t="s">
        <v>81</v>
      </c>
      <c r="C51" s="220">
        <v>44080.0</v>
      </c>
      <c r="D51" s="221">
        <v>38.96</v>
      </c>
      <c r="E51" s="222" t="s">
        <v>108</v>
      </c>
      <c r="F51" s="187" t="s">
        <v>137</v>
      </c>
      <c r="G51" s="187"/>
      <c r="H51" s="187"/>
      <c r="I51" s="187"/>
      <c r="J51" s="187"/>
      <c r="K51" s="187"/>
    </row>
    <row r="52" ht="16.5" customHeight="1">
      <c r="A52" s="234"/>
      <c r="B52" s="235" t="s">
        <v>87</v>
      </c>
      <c r="C52" s="225">
        <v>44080.0</v>
      </c>
      <c r="D52" s="226">
        <v>20.25</v>
      </c>
      <c r="E52" s="227" t="s">
        <v>108</v>
      </c>
      <c r="F52" s="194" t="s">
        <v>150</v>
      </c>
      <c r="G52" s="194"/>
      <c r="H52" s="194"/>
      <c r="I52" s="194"/>
      <c r="J52" s="194"/>
      <c r="K52" s="194"/>
    </row>
    <row r="53" ht="16.5" customHeight="1">
      <c r="A53" s="233"/>
      <c r="B53" s="74" t="s">
        <v>85</v>
      </c>
      <c r="C53" s="220">
        <v>44083.0</v>
      </c>
      <c r="D53" s="221">
        <v>80.0</v>
      </c>
      <c r="E53" s="222" t="s">
        <v>108</v>
      </c>
      <c r="F53" s="187" t="s">
        <v>149</v>
      </c>
      <c r="G53" s="187"/>
      <c r="H53" s="187"/>
      <c r="I53" s="187"/>
      <c r="J53" s="187"/>
      <c r="K53" s="187"/>
    </row>
    <row r="54" ht="16.5" customHeight="1">
      <c r="A54" s="234"/>
      <c r="B54" s="235" t="s">
        <v>86</v>
      </c>
      <c r="C54" s="225">
        <v>44084.0</v>
      </c>
      <c r="D54" s="226">
        <v>130.0</v>
      </c>
      <c r="E54" s="227" t="s">
        <v>108</v>
      </c>
      <c r="F54" s="194" t="s">
        <v>151</v>
      </c>
      <c r="G54" s="194"/>
      <c r="H54" s="194"/>
      <c r="I54" s="194"/>
      <c r="J54" s="194"/>
      <c r="K54" s="194"/>
    </row>
    <row r="55" ht="16.5" customHeight="1">
      <c r="A55" s="233"/>
      <c r="B55" s="74" t="s">
        <v>86</v>
      </c>
      <c r="C55" s="220">
        <v>44084.0</v>
      </c>
      <c r="D55" s="221">
        <v>150.0</v>
      </c>
      <c r="E55" s="222" t="s">
        <v>108</v>
      </c>
      <c r="F55" s="187" t="s">
        <v>116</v>
      </c>
      <c r="G55" s="187"/>
      <c r="H55" s="187"/>
      <c r="I55" s="187"/>
      <c r="J55" s="187"/>
      <c r="K55" s="187"/>
    </row>
    <row r="56" ht="16.5" customHeight="1">
      <c r="A56" s="234"/>
      <c r="B56" s="235" t="s">
        <v>88</v>
      </c>
      <c r="C56" s="225">
        <v>44084.0</v>
      </c>
      <c r="D56" s="226">
        <v>93.0</v>
      </c>
      <c r="E56" s="227" t="s">
        <v>108</v>
      </c>
      <c r="F56" s="194" t="s">
        <v>137</v>
      </c>
      <c r="G56" s="194"/>
      <c r="H56" s="194"/>
      <c r="I56" s="194"/>
      <c r="J56" s="194"/>
      <c r="K56" s="194"/>
    </row>
    <row r="57" ht="16.5" customHeight="1">
      <c r="A57" s="233"/>
      <c r="B57" s="74" t="s">
        <v>87</v>
      </c>
      <c r="C57" s="220">
        <v>44084.0</v>
      </c>
      <c r="D57" s="221">
        <v>25.0</v>
      </c>
      <c r="E57" s="222" t="s">
        <v>108</v>
      </c>
      <c r="F57" s="187" t="s">
        <v>152</v>
      </c>
      <c r="G57" s="187"/>
      <c r="H57" s="187"/>
      <c r="I57" s="187"/>
      <c r="J57" s="187"/>
      <c r="K57" s="187"/>
    </row>
    <row r="58" ht="16.5" customHeight="1">
      <c r="A58" s="234"/>
      <c r="B58" s="235" t="s">
        <v>81</v>
      </c>
      <c r="C58" s="225">
        <v>44084.0</v>
      </c>
      <c r="D58" s="226">
        <v>13.0</v>
      </c>
      <c r="E58" s="227" t="s">
        <v>108</v>
      </c>
      <c r="F58" s="194" t="s">
        <v>149</v>
      </c>
      <c r="G58" s="194"/>
      <c r="H58" s="194"/>
      <c r="I58" s="194"/>
      <c r="J58" s="194"/>
      <c r="K58" s="194"/>
    </row>
    <row r="59" ht="16.5" customHeight="1">
      <c r="A59" s="233"/>
      <c r="B59" s="74" t="s">
        <v>88</v>
      </c>
      <c r="C59" s="220">
        <v>44084.0</v>
      </c>
      <c r="D59" s="221">
        <v>33.0</v>
      </c>
      <c r="E59" s="222" t="s">
        <v>108</v>
      </c>
      <c r="F59" s="187" t="s">
        <v>149</v>
      </c>
      <c r="G59" s="187"/>
      <c r="H59" s="187"/>
      <c r="I59" s="187"/>
      <c r="J59" s="187"/>
      <c r="K59" s="187"/>
    </row>
    <row r="60" ht="16.5" customHeight="1">
      <c r="A60" s="234"/>
      <c r="B60" s="235" t="s">
        <v>81</v>
      </c>
      <c r="C60" s="225">
        <v>44084.0</v>
      </c>
      <c r="D60" s="226">
        <v>10.0</v>
      </c>
      <c r="E60" s="227" t="s">
        <v>108</v>
      </c>
      <c r="F60" s="194" t="s">
        <v>149</v>
      </c>
      <c r="G60" s="194"/>
      <c r="H60" s="194"/>
      <c r="I60" s="194"/>
      <c r="J60" s="194"/>
      <c r="K60" s="194"/>
    </row>
    <row r="61" ht="16.5" customHeight="1">
      <c r="A61" s="233"/>
      <c r="B61" s="74" t="s">
        <v>81</v>
      </c>
      <c r="C61" s="220">
        <v>44084.0</v>
      </c>
      <c r="D61" s="221">
        <v>95.0</v>
      </c>
      <c r="E61" s="222" t="s">
        <v>108</v>
      </c>
      <c r="F61" s="187" t="s">
        <v>137</v>
      </c>
      <c r="G61" s="187"/>
      <c r="H61" s="187"/>
      <c r="I61" s="187"/>
      <c r="J61" s="187"/>
      <c r="K61" s="187"/>
    </row>
    <row r="62" ht="16.5" customHeight="1">
      <c r="A62" s="234"/>
      <c r="B62" s="235" t="s">
        <v>86</v>
      </c>
      <c r="C62" s="225">
        <v>44084.0</v>
      </c>
      <c r="D62" s="226">
        <v>100.0</v>
      </c>
      <c r="E62" s="227" t="s">
        <v>108</v>
      </c>
      <c r="F62" s="194" t="s">
        <v>153</v>
      </c>
      <c r="G62" s="194"/>
      <c r="H62" s="194"/>
      <c r="I62" s="194"/>
      <c r="J62" s="194"/>
      <c r="K62" s="194"/>
    </row>
    <row r="63" ht="16.5" customHeight="1">
      <c r="A63" s="233"/>
      <c r="B63" s="74" t="s">
        <v>81</v>
      </c>
      <c r="C63" s="220">
        <v>44084.0</v>
      </c>
      <c r="D63" s="221">
        <v>50.0</v>
      </c>
      <c r="E63" s="222" t="s">
        <v>108</v>
      </c>
      <c r="F63" s="187" t="s">
        <v>114</v>
      </c>
      <c r="G63" s="187"/>
      <c r="H63" s="187"/>
      <c r="I63" s="187"/>
      <c r="J63" s="187"/>
      <c r="K63" s="187"/>
    </row>
    <row r="64" ht="16.5" customHeight="1">
      <c r="A64" s="234"/>
      <c r="B64" s="235" t="s">
        <v>71</v>
      </c>
      <c r="C64" s="225">
        <v>44086.0</v>
      </c>
      <c r="D64" s="226">
        <v>900.0</v>
      </c>
      <c r="E64" s="227" t="s">
        <v>108</v>
      </c>
      <c r="F64" s="194" t="s">
        <v>154</v>
      </c>
      <c r="G64" s="194"/>
      <c r="H64" s="194"/>
      <c r="I64" s="194"/>
      <c r="J64" s="194"/>
      <c r="K64" s="194"/>
    </row>
    <row r="65" ht="16.5" customHeight="1">
      <c r="A65" s="233"/>
      <c r="B65" s="74" t="s">
        <v>86</v>
      </c>
      <c r="C65" s="220">
        <v>44087.0</v>
      </c>
      <c r="D65" s="221">
        <v>105.0</v>
      </c>
      <c r="E65" s="222" t="s">
        <v>108</v>
      </c>
      <c r="F65" s="187" t="s">
        <v>155</v>
      </c>
      <c r="G65" s="187"/>
      <c r="H65" s="187"/>
      <c r="I65" s="187"/>
      <c r="J65" s="187"/>
      <c r="K65" s="187"/>
    </row>
    <row r="66" ht="16.5" customHeight="1">
      <c r="A66" s="234"/>
      <c r="B66" s="235" t="s">
        <v>88</v>
      </c>
      <c r="C66" s="225">
        <v>44088.0</v>
      </c>
      <c r="D66" s="226">
        <v>45.0</v>
      </c>
      <c r="E66" s="227" t="s">
        <v>108</v>
      </c>
      <c r="F66" s="194" t="s">
        <v>137</v>
      </c>
      <c r="G66" s="194"/>
      <c r="H66" s="194"/>
      <c r="I66" s="194"/>
      <c r="J66" s="194"/>
      <c r="K66" s="194"/>
    </row>
    <row r="67" ht="16.5" customHeight="1">
      <c r="A67" s="233"/>
      <c r="B67" s="74" t="s">
        <v>140</v>
      </c>
      <c r="C67" s="220">
        <v>44088.0</v>
      </c>
      <c r="D67" s="221">
        <v>40.0</v>
      </c>
      <c r="E67" s="222" t="s">
        <v>108</v>
      </c>
      <c r="F67" s="187" t="s">
        <v>149</v>
      </c>
      <c r="G67" s="187"/>
      <c r="H67" s="187"/>
      <c r="I67" s="187"/>
      <c r="J67" s="187"/>
      <c r="K67" s="187"/>
    </row>
    <row r="68" ht="16.5" customHeight="1">
      <c r="A68" s="234"/>
      <c r="B68" s="235" t="s">
        <v>81</v>
      </c>
      <c r="C68" s="225">
        <v>44089.0</v>
      </c>
      <c r="D68" s="226">
        <v>20.0</v>
      </c>
      <c r="E68" s="227" t="s">
        <v>108</v>
      </c>
      <c r="F68" s="194" t="s">
        <v>137</v>
      </c>
      <c r="G68" s="194"/>
      <c r="H68" s="194"/>
      <c r="I68" s="194"/>
      <c r="J68" s="194"/>
      <c r="K68" s="194"/>
    </row>
    <row r="69" ht="16.5" customHeight="1">
      <c r="A69" s="233"/>
      <c r="B69" s="74" t="s">
        <v>71</v>
      </c>
      <c r="C69" s="220">
        <v>44089.0</v>
      </c>
      <c r="D69" s="221">
        <v>900.0</v>
      </c>
      <c r="E69" s="222" t="s">
        <v>108</v>
      </c>
      <c r="F69" s="187" t="s">
        <v>156</v>
      </c>
      <c r="G69" s="187"/>
      <c r="H69" s="187"/>
      <c r="I69" s="187"/>
      <c r="J69" s="187"/>
      <c r="K69" s="187"/>
    </row>
    <row r="70" ht="16.5" customHeight="1">
      <c r="A70" s="234"/>
      <c r="B70" s="235" t="s">
        <v>71</v>
      </c>
      <c r="C70" s="225">
        <v>44090.0</v>
      </c>
      <c r="D70" s="226">
        <v>900.0</v>
      </c>
      <c r="E70" s="227" t="s">
        <v>108</v>
      </c>
      <c r="F70" s="194" t="s">
        <v>156</v>
      </c>
      <c r="G70" s="194"/>
      <c r="H70" s="194"/>
      <c r="I70" s="194"/>
      <c r="J70" s="194"/>
      <c r="K70" s="194"/>
    </row>
    <row r="71" ht="16.5" customHeight="1">
      <c r="A71" s="233"/>
      <c r="B71" s="74" t="s">
        <v>157</v>
      </c>
      <c r="C71" s="220">
        <v>44091.0</v>
      </c>
      <c r="D71" s="221">
        <v>158.6</v>
      </c>
      <c r="E71" s="222" t="s">
        <v>108</v>
      </c>
      <c r="F71" s="187" t="s">
        <v>158</v>
      </c>
      <c r="G71" s="187"/>
      <c r="H71" s="187"/>
      <c r="I71" s="187"/>
      <c r="J71" s="187"/>
      <c r="K71" s="187"/>
    </row>
    <row r="72" ht="16.5" customHeight="1">
      <c r="A72" s="234"/>
      <c r="B72" s="235" t="s">
        <v>86</v>
      </c>
      <c r="C72" s="225">
        <v>44093.0</v>
      </c>
      <c r="D72" s="226">
        <v>100.0</v>
      </c>
      <c r="E72" s="227" t="s">
        <v>108</v>
      </c>
      <c r="F72" s="194" t="s">
        <v>142</v>
      </c>
      <c r="G72" s="194"/>
      <c r="H72" s="194"/>
      <c r="I72" s="194"/>
      <c r="J72" s="194"/>
      <c r="K72" s="194"/>
    </row>
    <row r="73" ht="16.5" customHeight="1">
      <c r="A73" s="233"/>
      <c r="B73" s="74" t="s">
        <v>89</v>
      </c>
      <c r="C73" s="220">
        <v>44094.0</v>
      </c>
      <c r="D73" s="221">
        <v>50.0</v>
      </c>
      <c r="E73" s="222" t="s">
        <v>108</v>
      </c>
      <c r="F73" s="187" t="s">
        <v>115</v>
      </c>
      <c r="G73" s="187"/>
      <c r="H73" s="187"/>
      <c r="I73" s="187"/>
      <c r="J73" s="187"/>
      <c r="K73" s="187"/>
    </row>
    <row r="74" ht="16.5" customHeight="1">
      <c r="A74" s="234"/>
      <c r="B74" s="235" t="s">
        <v>89</v>
      </c>
      <c r="C74" s="225">
        <v>44094.0</v>
      </c>
      <c r="D74" s="226">
        <v>20.0</v>
      </c>
      <c r="E74" s="227" t="s">
        <v>108</v>
      </c>
      <c r="F74" s="194" t="s">
        <v>115</v>
      </c>
      <c r="G74" s="194"/>
      <c r="H74" s="194"/>
      <c r="I74" s="194"/>
      <c r="J74" s="194"/>
      <c r="K74" s="194"/>
    </row>
    <row r="75" ht="16.5" customHeight="1">
      <c r="A75" s="233"/>
      <c r="B75" s="74" t="s">
        <v>90</v>
      </c>
      <c r="C75" s="220">
        <v>44095.0</v>
      </c>
      <c r="D75" s="221">
        <v>36.0</v>
      </c>
      <c r="E75" s="222" t="s">
        <v>108</v>
      </c>
      <c r="F75" s="187" t="s">
        <v>137</v>
      </c>
      <c r="G75" s="187"/>
      <c r="H75" s="187"/>
      <c r="I75" s="187"/>
      <c r="J75" s="187"/>
      <c r="K75" s="187"/>
    </row>
    <row r="76" ht="16.5" customHeight="1">
      <c r="A76" s="234"/>
      <c r="B76" s="235" t="s">
        <v>86</v>
      </c>
      <c r="C76" s="225">
        <v>44095.0</v>
      </c>
      <c r="D76" s="226">
        <v>100.0</v>
      </c>
      <c r="E76" s="227" t="s">
        <v>108</v>
      </c>
      <c r="F76" s="194" t="s">
        <v>159</v>
      </c>
      <c r="G76" s="194"/>
      <c r="H76" s="194"/>
      <c r="I76" s="194"/>
      <c r="J76" s="194"/>
      <c r="K76" s="194"/>
    </row>
    <row r="77" ht="16.5" customHeight="1">
      <c r="A77" s="233"/>
      <c r="B77" s="74" t="s">
        <v>85</v>
      </c>
      <c r="C77" s="220">
        <v>44095.0</v>
      </c>
      <c r="D77" s="221" t="s">
        <v>160</v>
      </c>
      <c r="E77" s="222" t="s">
        <v>108</v>
      </c>
      <c r="F77" s="187" t="s">
        <v>149</v>
      </c>
      <c r="G77" s="187"/>
      <c r="H77" s="187"/>
      <c r="I77" s="187"/>
      <c r="J77" s="187"/>
      <c r="K77" s="187"/>
    </row>
    <row r="78" ht="16.5" customHeight="1">
      <c r="A78" s="234"/>
      <c r="B78" s="235" t="s">
        <v>81</v>
      </c>
      <c r="C78" s="225">
        <v>44095.0</v>
      </c>
      <c r="D78" s="226">
        <v>452.0</v>
      </c>
      <c r="E78" s="227" t="s">
        <v>108</v>
      </c>
      <c r="F78" s="194" t="s">
        <v>161</v>
      </c>
      <c r="G78" s="194"/>
      <c r="H78" s="194"/>
      <c r="I78" s="194"/>
      <c r="J78" s="194"/>
      <c r="K78" s="194"/>
    </row>
    <row r="79" ht="16.5" customHeight="1">
      <c r="A79" s="233"/>
      <c r="B79" s="74" t="s">
        <v>83</v>
      </c>
      <c r="C79" s="220">
        <v>44096.0</v>
      </c>
      <c r="D79" s="221">
        <v>360.09</v>
      </c>
      <c r="E79" s="222" t="s">
        <v>108</v>
      </c>
      <c r="F79" s="187" t="s">
        <v>162</v>
      </c>
      <c r="G79" s="187"/>
      <c r="H79" s="187"/>
      <c r="I79" s="187"/>
      <c r="J79" s="187"/>
      <c r="K79" s="187"/>
    </row>
    <row r="80" ht="16.5" customHeight="1">
      <c r="A80" s="234"/>
      <c r="B80" s="235" t="s">
        <v>86</v>
      </c>
      <c r="C80" s="225">
        <v>44096.0</v>
      </c>
      <c r="D80" s="226">
        <v>100.0</v>
      </c>
      <c r="E80" s="227" t="s">
        <v>108</v>
      </c>
      <c r="F80" s="194" t="s">
        <v>163</v>
      </c>
      <c r="G80" s="194"/>
      <c r="H80" s="194"/>
      <c r="I80" s="194"/>
      <c r="J80" s="194"/>
      <c r="K80" s="194"/>
    </row>
    <row r="81" ht="16.5" customHeight="1">
      <c r="A81" s="233"/>
      <c r="B81" s="74" t="s">
        <v>83</v>
      </c>
      <c r="C81" s="220">
        <v>44097.0</v>
      </c>
      <c r="D81" s="221">
        <v>796.21</v>
      </c>
      <c r="E81" s="222" t="s">
        <v>108</v>
      </c>
      <c r="F81" s="187" t="s">
        <v>164</v>
      </c>
      <c r="G81" s="187"/>
      <c r="H81" s="187"/>
      <c r="I81" s="187"/>
      <c r="J81" s="187"/>
      <c r="K81" s="187"/>
    </row>
    <row r="82" ht="16.5" customHeight="1">
      <c r="A82" s="234"/>
      <c r="B82" s="235" t="s">
        <v>81</v>
      </c>
      <c r="C82" s="225">
        <v>44098.0</v>
      </c>
      <c r="D82" s="226">
        <v>684.95</v>
      </c>
      <c r="E82" s="227" t="s">
        <v>108</v>
      </c>
      <c r="F82" s="194" t="s">
        <v>137</v>
      </c>
      <c r="G82" s="194"/>
      <c r="H82" s="194"/>
      <c r="I82" s="194"/>
      <c r="J82" s="194"/>
      <c r="K82" s="194"/>
    </row>
    <row r="83" ht="16.5" customHeight="1">
      <c r="A83" s="233"/>
      <c r="B83" s="74" t="s">
        <v>94</v>
      </c>
      <c r="C83" s="220">
        <v>44104.0</v>
      </c>
      <c r="D83" s="221">
        <v>68.4</v>
      </c>
      <c r="E83" s="222" t="s">
        <v>108</v>
      </c>
      <c r="F83" s="187" t="s">
        <v>143</v>
      </c>
      <c r="G83" s="187"/>
      <c r="H83" s="187"/>
      <c r="I83" s="187"/>
      <c r="J83" s="187"/>
      <c r="K83" s="187"/>
    </row>
    <row r="84" ht="16.5" customHeight="1">
      <c r="A84" s="234"/>
      <c r="B84" s="235" t="s">
        <v>140</v>
      </c>
      <c r="C84" s="225">
        <v>44105.0</v>
      </c>
      <c r="D84" s="226">
        <v>80.0</v>
      </c>
      <c r="E84" s="227" t="s">
        <v>108</v>
      </c>
      <c r="F84" s="194" t="s">
        <v>137</v>
      </c>
      <c r="G84" s="194"/>
      <c r="H84" s="194"/>
      <c r="I84" s="194"/>
      <c r="J84" s="194"/>
      <c r="K84" s="194"/>
    </row>
    <row r="85" ht="16.5" customHeight="1">
      <c r="A85" s="233"/>
      <c r="B85" s="74" t="s">
        <v>86</v>
      </c>
      <c r="C85" s="220">
        <v>44107.0</v>
      </c>
      <c r="D85" s="221">
        <v>100.0</v>
      </c>
      <c r="E85" s="222" t="s">
        <v>108</v>
      </c>
      <c r="F85" s="187" t="s">
        <v>165</v>
      </c>
      <c r="G85" s="187"/>
      <c r="H85" s="187"/>
      <c r="I85" s="187"/>
      <c r="J85" s="187"/>
      <c r="K85" s="187"/>
    </row>
    <row r="86" ht="16.5" customHeight="1">
      <c r="A86" s="234"/>
      <c r="B86" s="235" t="s">
        <v>85</v>
      </c>
      <c r="C86" s="225">
        <v>44107.0</v>
      </c>
      <c r="D86" s="226">
        <v>40.0</v>
      </c>
      <c r="E86" s="227" t="s">
        <v>108</v>
      </c>
      <c r="F86" s="194" t="s">
        <v>137</v>
      </c>
      <c r="G86" s="194"/>
      <c r="H86" s="194"/>
      <c r="I86" s="194"/>
      <c r="J86" s="194"/>
      <c r="K86" s="194"/>
    </row>
    <row r="87" ht="16.5" customHeight="1">
      <c r="A87" s="233"/>
      <c r="B87" s="74" t="s">
        <v>81</v>
      </c>
      <c r="C87" s="220">
        <v>44107.0</v>
      </c>
      <c r="D87" s="221">
        <v>23.0</v>
      </c>
      <c r="E87" s="222" t="s">
        <v>108</v>
      </c>
      <c r="F87" s="187" t="s">
        <v>137</v>
      </c>
      <c r="G87" s="187"/>
      <c r="H87" s="187"/>
      <c r="I87" s="187"/>
      <c r="J87" s="187"/>
      <c r="K87" s="187"/>
    </row>
    <row r="88" ht="16.5" customHeight="1">
      <c r="A88" s="234"/>
      <c r="B88" s="235" t="s">
        <v>87</v>
      </c>
      <c r="C88" s="225">
        <v>44107.0</v>
      </c>
      <c r="D88" s="226">
        <v>250.0</v>
      </c>
      <c r="E88" s="227" t="s">
        <v>108</v>
      </c>
      <c r="F88" s="194" t="s">
        <v>166</v>
      </c>
      <c r="G88" s="194"/>
      <c r="H88" s="194"/>
      <c r="I88" s="194"/>
      <c r="J88" s="194"/>
      <c r="K88" s="194"/>
    </row>
    <row r="89" ht="16.5" customHeight="1">
      <c r="A89" s="233"/>
      <c r="B89" s="74" t="s">
        <v>81</v>
      </c>
      <c r="C89" s="220">
        <v>44108.0</v>
      </c>
      <c r="D89" s="221">
        <v>10.95</v>
      </c>
      <c r="E89" s="222" t="s">
        <v>108</v>
      </c>
      <c r="F89" s="187" t="s">
        <v>166</v>
      </c>
      <c r="G89" s="187"/>
      <c r="H89" s="187"/>
      <c r="I89" s="187"/>
      <c r="J89" s="187"/>
      <c r="K89" s="187"/>
    </row>
    <row r="90" ht="16.5" customHeight="1">
      <c r="A90" s="234"/>
      <c r="B90" s="235" t="s">
        <v>89</v>
      </c>
      <c r="C90" s="225">
        <v>44108.0</v>
      </c>
      <c r="D90" s="226">
        <v>60.0</v>
      </c>
      <c r="E90" s="227" t="s">
        <v>108</v>
      </c>
      <c r="F90" s="194" t="s">
        <v>167</v>
      </c>
      <c r="G90" s="194"/>
      <c r="H90" s="194"/>
      <c r="I90" s="194"/>
      <c r="J90" s="194"/>
      <c r="K90" s="194"/>
    </row>
    <row r="91" ht="16.5" customHeight="1">
      <c r="A91" s="233"/>
      <c r="B91" s="74" t="s">
        <v>157</v>
      </c>
      <c r="C91" s="220">
        <v>44109.0</v>
      </c>
      <c r="D91" s="221">
        <v>113.29</v>
      </c>
      <c r="E91" s="222" t="s">
        <v>108</v>
      </c>
      <c r="F91" s="187" t="s">
        <v>158</v>
      </c>
      <c r="G91" s="187"/>
      <c r="H91" s="187"/>
      <c r="I91" s="187"/>
      <c r="J91" s="187"/>
      <c r="K91" s="187"/>
    </row>
    <row r="92" ht="16.5" customHeight="1">
      <c r="A92" s="234"/>
      <c r="B92" s="235" t="s">
        <v>95</v>
      </c>
      <c r="C92" s="225">
        <v>44109.0</v>
      </c>
      <c r="D92" s="226">
        <v>50.63</v>
      </c>
      <c r="E92" s="227" t="s">
        <v>108</v>
      </c>
      <c r="F92" s="194" t="s">
        <v>168</v>
      </c>
      <c r="G92" s="194"/>
      <c r="H92" s="194"/>
      <c r="I92" s="194"/>
      <c r="J92" s="194"/>
      <c r="K92" s="194"/>
    </row>
    <row r="93" ht="16.5" customHeight="1">
      <c r="A93" s="233"/>
      <c r="B93" s="74" t="s">
        <v>85</v>
      </c>
      <c r="C93" s="220">
        <v>44110.0</v>
      </c>
      <c r="D93" s="221">
        <v>150.0</v>
      </c>
      <c r="E93" s="222" t="s">
        <v>108</v>
      </c>
      <c r="F93" s="187" t="s">
        <v>169</v>
      </c>
      <c r="G93" s="187"/>
      <c r="H93" s="187"/>
      <c r="I93" s="187"/>
      <c r="J93" s="187"/>
      <c r="K93" s="187"/>
    </row>
    <row r="94" ht="16.5" customHeight="1">
      <c r="A94" s="234"/>
      <c r="B94" s="235" t="s">
        <v>86</v>
      </c>
      <c r="C94" s="225">
        <v>44111.0</v>
      </c>
      <c r="D94" s="226">
        <v>100.0</v>
      </c>
      <c r="E94" s="227" t="s">
        <v>108</v>
      </c>
      <c r="F94" s="194" t="s">
        <v>170</v>
      </c>
      <c r="G94" s="194"/>
      <c r="H94" s="194"/>
      <c r="I94" s="194"/>
      <c r="J94" s="194"/>
      <c r="K94" s="194"/>
    </row>
    <row r="95" ht="16.5" customHeight="1">
      <c r="A95" s="233"/>
      <c r="B95" s="74" t="s">
        <v>89</v>
      </c>
      <c r="C95" s="220">
        <v>44111.0</v>
      </c>
      <c r="D95" s="221">
        <v>20.0</v>
      </c>
      <c r="E95" s="222" t="s">
        <v>108</v>
      </c>
      <c r="F95" s="187" t="s">
        <v>115</v>
      </c>
      <c r="G95" s="187"/>
      <c r="H95" s="187"/>
      <c r="I95" s="187"/>
      <c r="J95" s="187"/>
      <c r="K95" s="187"/>
    </row>
    <row r="96" ht="16.5" customHeight="1">
      <c r="A96" s="234"/>
      <c r="B96" s="235" t="s">
        <v>89</v>
      </c>
      <c r="C96" s="225">
        <v>44112.0</v>
      </c>
      <c r="D96" s="226">
        <v>100.0</v>
      </c>
      <c r="E96" s="227" t="s">
        <v>108</v>
      </c>
      <c r="F96" s="194" t="s">
        <v>171</v>
      </c>
      <c r="G96" s="194"/>
      <c r="H96" s="194"/>
      <c r="I96" s="194"/>
      <c r="J96" s="194"/>
      <c r="K96" s="194"/>
    </row>
    <row r="97" ht="16.5" customHeight="1">
      <c r="A97" s="233"/>
      <c r="B97" s="74" t="s">
        <v>81</v>
      </c>
      <c r="C97" s="220">
        <v>44115.0</v>
      </c>
      <c r="D97" s="221">
        <v>88.74</v>
      </c>
      <c r="E97" s="222" t="s">
        <v>108</v>
      </c>
      <c r="F97" s="187" t="s">
        <v>115</v>
      </c>
      <c r="G97" s="187"/>
      <c r="H97" s="187"/>
      <c r="I97" s="187"/>
      <c r="J97" s="187"/>
      <c r="K97" s="187"/>
    </row>
    <row r="98" ht="16.5" customHeight="1">
      <c r="A98" s="234"/>
      <c r="B98" s="235" t="s">
        <v>86</v>
      </c>
      <c r="C98" s="225">
        <v>44115.0</v>
      </c>
      <c r="D98" s="226">
        <v>50.0</v>
      </c>
      <c r="E98" s="227" t="s">
        <v>108</v>
      </c>
      <c r="F98" s="194" t="s">
        <v>137</v>
      </c>
      <c r="G98" s="194"/>
      <c r="H98" s="194"/>
      <c r="I98" s="194"/>
      <c r="J98" s="194"/>
      <c r="K98" s="194"/>
    </row>
    <row r="99" ht="16.5" customHeight="1">
      <c r="A99" s="233"/>
      <c r="B99" s="74" t="s">
        <v>88</v>
      </c>
      <c r="C99" s="220">
        <v>44115.0</v>
      </c>
      <c r="D99" s="221">
        <v>46.72</v>
      </c>
      <c r="E99" s="222" t="s">
        <v>108</v>
      </c>
      <c r="F99" s="187" t="s">
        <v>137</v>
      </c>
      <c r="G99" s="187"/>
      <c r="H99" s="187"/>
      <c r="I99" s="187"/>
      <c r="J99" s="187"/>
      <c r="K99" s="187"/>
    </row>
    <row r="100" ht="16.5" customHeight="1">
      <c r="A100" s="234"/>
      <c r="B100" s="235" t="s">
        <v>89</v>
      </c>
      <c r="C100" s="225">
        <v>44482.0</v>
      </c>
      <c r="D100" s="226">
        <v>20.0</v>
      </c>
      <c r="E100" s="227" t="s">
        <v>108</v>
      </c>
      <c r="F100" s="194" t="s">
        <v>115</v>
      </c>
      <c r="G100" s="194"/>
      <c r="H100" s="194"/>
      <c r="I100" s="194"/>
      <c r="J100" s="194"/>
      <c r="K100" s="194"/>
    </row>
    <row r="101" ht="16.5" customHeight="1">
      <c r="A101" s="233"/>
      <c r="B101" s="74" t="s">
        <v>81</v>
      </c>
      <c r="C101" s="220">
        <v>44482.0</v>
      </c>
      <c r="D101" s="221">
        <v>575.95</v>
      </c>
      <c r="E101" s="222" t="s">
        <v>108</v>
      </c>
      <c r="F101" s="187" t="s">
        <v>142</v>
      </c>
      <c r="G101" s="187"/>
      <c r="H101" s="187"/>
      <c r="I101" s="187"/>
      <c r="J101" s="187"/>
      <c r="K101" s="187"/>
    </row>
    <row r="102" ht="16.5" customHeight="1">
      <c r="A102" s="234"/>
      <c r="B102" s="235" t="s">
        <v>81</v>
      </c>
      <c r="C102" s="225">
        <v>44483.0</v>
      </c>
      <c r="D102" s="226">
        <v>377.95</v>
      </c>
      <c r="E102" s="227" t="s">
        <v>108</v>
      </c>
      <c r="F102" s="194" t="s">
        <v>172</v>
      </c>
      <c r="G102" s="194"/>
      <c r="H102" s="194"/>
      <c r="I102" s="194"/>
      <c r="J102" s="194"/>
      <c r="K102" s="194"/>
    </row>
    <row r="103" ht="16.5" customHeight="1">
      <c r="A103" s="233"/>
      <c r="B103" s="74" t="s">
        <v>71</v>
      </c>
      <c r="C103" s="220">
        <v>44483.0</v>
      </c>
      <c r="D103" s="221">
        <v>20.0</v>
      </c>
      <c r="E103" s="222" t="s">
        <v>108</v>
      </c>
      <c r="F103" s="187" t="s">
        <v>173</v>
      </c>
      <c r="G103" s="187"/>
      <c r="H103" s="187"/>
      <c r="I103" s="187"/>
      <c r="J103" s="187"/>
      <c r="K103" s="187"/>
    </row>
    <row r="104" ht="16.5" customHeight="1">
      <c r="A104" s="234"/>
      <c r="B104" s="235" t="s">
        <v>140</v>
      </c>
      <c r="C104" s="225">
        <v>44483.0</v>
      </c>
      <c r="D104" s="226" t="s">
        <v>174</v>
      </c>
      <c r="E104" s="227" t="s">
        <v>108</v>
      </c>
      <c r="F104" s="194" t="s">
        <v>175</v>
      </c>
      <c r="G104" s="194"/>
      <c r="H104" s="194"/>
      <c r="I104" s="194"/>
      <c r="J104" s="194"/>
      <c r="K104" s="194"/>
    </row>
    <row r="105" ht="16.5" customHeight="1">
      <c r="A105" s="233"/>
      <c r="B105" s="74" t="s">
        <v>86</v>
      </c>
      <c r="C105" s="220">
        <v>44485.0</v>
      </c>
      <c r="D105" s="221">
        <v>100.0</v>
      </c>
      <c r="E105" s="222" t="s">
        <v>108</v>
      </c>
      <c r="F105" s="187" t="s">
        <v>176</v>
      </c>
      <c r="G105" s="187"/>
      <c r="H105" s="187"/>
      <c r="I105" s="187"/>
      <c r="J105" s="187"/>
      <c r="K105" s="187"/>
    </row>
    <row r="106" ht="16.5" customHeight="1">
      <c r="A106" s="234"/>
      <c r="B106" s="235" t="s">
        <v>87</v>
      </c>
      <c r="C106" s="225">
        <v>44485.0</v>
      </c>
      <c r="D106" s="226">
        <v>15.0</v>
      </c>
      <c r="E106" s="227" t="s">
        <v>108</v>
      </c>
      <c r="F106" s="194" t="s">
        <v>137</v>
      </c>
      <c r="G106" s="194"/>
      <c r="H106" s="194"/>
      <c r="I106" s="194"/>
      <c r="J106" s="194"/>
      <c r="K106" s="194"/>
    </row>
    <row r="107" ht="16.5" customHeight="1">
      <c r="A107" s="233"/>
      <c r="B107" s="74" t="s">
        <v>71</v>
      </c>
      <c r="C107" s="220">
        <v>44485.0</v>
      </c>
      <c r="D107" s="221">
        <v>342.0</v>
      </c>
      <c r="E107" s="222" t="s">
        <v>108</v>
      </c>
      <c r="F107" s="187" t="s">
        <v>137</v>
      </c>
      <c r="G107" s="187"/>
      <c r="H107" s="187"/>
      <c r="I107" s="187"/>
      <c r="J107" s="187"/>
      <c r="K107" s="187"/>
    </row>
    <row r="108" ht="16.5" customHeight="1">
      <c r="A108" s="234"/>
      <c r="B108" s="235" t="s">
        <v>71</v>
      </c>
      <c r="C108" s="225">
        <v>44485.0</v>
      </c>
      <c r="D108" s="226">
        <v>999.0</v>
      </c>
      <c r="E108" s="227" t="s">
        <v>108</v>
      </c>
      <c r="F108" s="194" t="s">
        <v>137</v>
      </c>
      <c r="G108" s="194"/>
      <c r="H108" s="194"/>
      <c r="I108" s="194"/>
      <c r="J108" s="194"/>
      <c r="K108" s="194"/>
    </row>
    <row r="109" ht="16.5" customHeight="1">
      <c r="A109" s="233"/>
      <c r="B109" s="74" t="s">
        <v>71</v>
      </c>
      <c r="C109" s="220">
        <v>44485.0</v>
      </c>
      <c r="D109" s="221">
        <v>999.0</v>
      </c>
      <c r="E109" s="222" t="s">
        <v>108</v>
      </c>
      <c r="F109" s="187" t="s">
        <v>137</v>
      </c>
      <c r="G109" s="187"/>
      <c r="H109" s="187"/>
      <c r="I109" s="187"/>
      <c r="J109" s="187"/>
      <c r="K109" s="187"/>
    </row>
    <row r="110" ht="16.5" customHeight="1">
      <c r="A110" s="234"/>
      <c r="B110" s="235" t="s">
        <v>89</v>
      </c>
      <c r="C110" s="225">
        <v>44488.0</v>
      </c>
      <c r="D110" s="226">
        <v>90.0</v>
      </c>
      <c r="E110" s="227" t="s">
        <v>108</v>
      </c>
      <c r="F110" s="194" t="s">
        <v>167</v>
      </c>
      <c r="G110" s="194"/>
      <c r="H110" s="194"/>
      <c r="I110" s="194"/>
      <c r="J110" s="194"/>
      <c r="K110" s="194"/>
    </row>
    <row r="111" ht="16.5" customHeight="1">
      <c r="A111" s="233"/>
      <c r="B111" s="74" t="s">
        <v>86</v>
      </c>
      <c r="C111" s="220">
        <v>44488.0</v>
      </c>
      <c r="D111" s="221">
        <v>50.0</v>
      </c>
      <c r="E111" s="222" t="s">
        <v>108</v>
      </c>
      <c r="F111" s="187" t="s">
        <v>177</v>
      </c>
      <c r="G111" s="187"/>
      <c r="H111" s="187"/>
      <c r="I111" s="187"/>
      <c r="J111" s="187"/>
      <c r="K111" s="187"/>
    </row>
    <row r="112" ht="16.5" customHeight="1">
      <c r="A112" s="234"/>
      <c r="B112" s="235" t="s">
        <v>81</v>
      </c>
      <c r="C112" s="225">
        <v>44488.0</v>
      </c>
      <c r="D112" s="226">
        <v>17.4</v>
      </c>
      <c r="E112" s="227" t="s">
        <v>108</v>
      </c>
      <c r="F112" s="194" t="s">
        <v>137</v>
      </c>
      <c r="G112" s="194"/>
      <c r="H112" s="194"/>
      <c r="I112" s="194"/>
      <c r="J112" s="194"/>
      <c r="K112" s="194"/>
    </row>
    <row r="113" ht="16.5" customHeight="1">
      <c r="A113" s="233"/>
      <c r="B113" s="74" t="s">
        <v>85</v>
      </c>
      <c r="C113" s="220">
        <v>44489.0</v>
      </c>
      <c r="D113" s="221">
        <v>143.4</v>
      </c>
      <c r="E113" s="222" t="s">
        <v>108</v>
      </c>
      <c r="F113" s="187" t="s">
        <v>118</v>
      </c>
      <c r="G113" s="187"/>
      <c r="H113" s="187"/>
      <c r="I113" s="187"/>
      <c r="J113" s="187"/>
      <c r="K113" s="187"/>
    </row>
    <row r="114" ht="16.5" customHeight="1">
      <c r="A114" s="234"/>
      <c r="B114" s="235" t="s">
        <v>86</v>
      </c>
      <c r="C114" s="225">
        <v>44490.0</v>
      </c>
      <c r="D114" s="226" t="s">
        <v>178</v>
      </c>
      <c r="E114" s="227" t="s">
        <v>108</v>
      </c>
      <c r="F114" s="194" t="s">
        <v>114</v>
      </c>
      <c r="G114" s="194"/>
      <c r="H114" s="194"/>
      <c r="I114" s="194"/>
      <c r="J114" s="194"/>
      <c r="K114" s="194"/>
    </row>
    <row r="115" ht="16.5" customHeight="1">
      <c r="A115" s="233"/>
      <c r="B115" s="74" t="s">
        <v>81</v>
      </c>
      <c r="C115" s="220">
        <v>44491.0</v>
      </c>
      <c r="D115" s="221">
        <v>575.95</v>
      </c>
      <c r="E115" s="222" t="s">
        <v>108</v>
      </c>
      <c r="F115" s="187" t="s">
        <v>137</v>
      </c>
      <c r="G115" s="187"/>
      <c r="H115" s="187"/>
      <c r="I115" s="187"/>
      <c r="J115" s="187"/>
      <c r="K115" s="187"/>
    </row>
    <row r="116" ht="16.5" customHeight="1">
      <c r="A116" s="234"/>
      <c r="B116" s="235" t="s">
        <v>85</v>
      </c>
      <c r="C116" s="225">
        <v>44495.0</v>
      </c>
      <c r="D116" s="226">
        <v>75.0</v>
      </c>
      <c r="E116" s="227" t="s">
        <v>108</v>
      </c>
      <c r="F116" s="194" t="s">
        <v>137</v>
      </c>
      <c r="G116" s="194"/>
      <c r="H116" s="194"/>
      <c r="I116" s="194"/>
      <c r="J116" s="194"/>
      <c r="K116" s="194"/>
    </row>
    <row r="117" ht="16.5" customHeight="1">
      <c r="A117" s="233"/>
      <c r="B117" s="74" t="s">
        <v>90</v>
      </c>
      <c r="C117" s="220">
        <v>44498.0</v>
      </c>
      <c r="D117" s="221">
        <v>104.0</v>
      </c>
      <c r="E117" s="222" t="s">
        <v>108</v>
      </c>
      <c r="F117" s="187" t="s">
        <v>137</v>
      </c>
      <c r="G117" s="187"/>
      <c r="H117" s="187"/>
      <c r="I117" s="187"/>
      <c r="J117" s="187"/>
      <c r="K117" s="187"/>
    </row>
    <row r="118" ht="16.5" customHeight="1">
      <c r="A118" s="234"/>
      <c r="B118" s="235" t="s">
        <v>85</v>
      </c>
      <c r="C118" s="225">
        <v>44498.0</v>
      </c>
      <c r="D118" s="226">
        <v>40.0</v>
      </c>
      <c r="E118" s="227" t="s">
        <v>108</v>
      </c>
      <c r="F118" s="194" t="s">
        <v>179</v>
      </c>
      <c r="G118" s="194"/>
      <c r="H118" s="194"/>
      <c r="I118" s="194"/>
      <c r="J118" s="194"/>
      <c r="K118" s="194"/>
    </row>
    <row r="119" ht="16.5" customHeight="1">
      <c r="A119" s="233"/>
      <c r="B119" s="74" t="s">
        <v>85</v>
      </c>
      <c r="C119" s="220">
        <v>44498.0</v>
      </c>
      <c r="D119" s="221">
        <v>55.0</v>
      </c>
      <c r="E119" s="222" t="s">
        <v>108</v>
      </c>
      <c r="F119" s="187" t="s">
        <v>180</v>
      </c>
      <c r="G119" s="187"/>
      <c r="H119" s="187"/>
      <c r="I119" s="187"/>
      <c r="J119" s="187"/>
      <c r="K119" s="187"/>
    </row>
    <row r="120" ht="16.5" customHeight="1">
      <c r="A120" s="234"/>
      <c r="B120" s="235" t="s">
        <v>89</v>
      </c>
      <c r="C120" s="225">
        <v>44136.0</v>
      </c>
      <c r="D120" s="226">
        <v>60.0</v>
      </c>
      <c r="E120" s="227" t="s">
        <v>108</v>
      </c>
      <c r="F120" s="194" t="s">
        <v>167</v>
      </c>
      <c r="G120" s="194"/>
      <c r="H120" s="194"/>
      <c r="I120" s="194"/>
      <c r="J120" s="194"/>
      <c r="K120" s="194"/>
    </row>
    <row r="121" ht="16.5" customHeight="1">
      <c r="A121" s="233"/>
      <c r="B121" s="74" t="s">
        <v>87</v>
      </c>
      <c r="C121" s="220">
        <v>44136.0</v>
      </c>
      <c r="D121" s="221">
        <v>200.0</v>
      </c>
      <c r="E121" s="222" t="s">
        <v>108</v>
      </c>
      <c r="F121" s="187" t="s">
        <v>166</v>
      </c>
      <c r="G121" s="187"/>
      <c r="H121" s="187"/>
      <c r="I121" s="187"/>
      <c r="J121" s="187"/>
      <c r="K121" s="187"/>
    </row>
    <row r="122" ht="16.5" customHeight="1">
      <c r="A122" s="234"/>
      <c r="B122" s="235" t="s">
        <v>87</v>
      </c>
      <c r="C122" s="225">
        <v>44139.0</v>
      </c>
      <c r="D122" s="226">
        <v>132.0</v>
      </c>
      <c r="E122" s="227" t="s">
        <v>108</v>
      </c>
      <c r="F122" s="194" t="s">
        <v>121</v>
      </c>
      <c r="G122" s="194"/>
      <c r="H122" s="194"/>
      <c r="I122" s="194"/>
      <c r="J122" s="194"/>
      <c r="K122" s="194"/>
    </row>
    <row r="123" ht="16.5" customHeight="1">
      <c r="A123" s="233"/>
      <c r="B123" s="74" t="s">
        <v>87</v>
      </c>
      <c r="C123" s="220">
        <v>44139.0</v>
      </c>
      <c r="D123" s="221">
        <v>25.18</v>
      </c>
      <c r="E123" s="222" t="s">
        <v>108</v>
      </c>
      <c r="F123" s="187" t="s">
        <v>121</v>
      </c>
      <c r="G123" s="187"/>
      <c r="H123" s="187"/>
      <c r="I123" s="187"/>
      <c r="J123" s="187"/>
      <c r="K123" s="187"/>
    </row>
    <row r="124" ht="16.5" customHeight="1">
      <c r="A124" s="234"/>
      <c r="B124" s="235" t="s">
        <v>83</v>
      </c>
      <c r="C124" s="225">
        <v>44139.0</v>
      </c>
      <c r="D124" s="226">
        <v>200.95</v>
      </c>
      <c r="E124" s="227" t="s">
        <v>108</v>
      </c>
      <c r="F124" s="194" t="s">
        <v>181</v>
      </c>
      <c r="G124" s="194"/>
      <c r="H124" s="194"/>
      <c r="I124" s="194"/>
      <c r="J124" s="194"/>
      <c r="K124" s="194"/>
    </row>
    <row r="125" ht="16.5" customHeight="1">
      <c r="A125" s="233"/>
      <c r="B125" s="74" t="s">
        <v>83</v>
      </c>
      <c r="C125" s="220">
        <v>44139.0</v>
      </c>
      <c r="D125" s="221">
        <v>231.16</v>
      </c>
      <c r="E125" s="222" t="s">
        <v>108</v>
      </c>
      <c r="F125" s="187" t="s">
        <v>182</v>
      </c>
      <c r="G125" s="187"/>
      <c r="H125" s="187"/>
      <c r="I125" s="187"/>
      <c r="J125" s="187"/>
      <c r="K125" s="187"/>
    </row>
    <row r="126" ht="16.5" customHeight="1">
      <c r="A126" s="234"/>
      <c r="B126" s="235" t="s">
        <v>83</v>
      </c>
      <c r="C126" s="225">
        <v>44139.0</v>
      </c>
      <c r="D126" s="226">
        <v>64.53</v>
      </c>
      <c r="E126" s="227" t="s">
        <v>108</v>
      </c>
      <c r="F126" s="194" t="s">
        <v>183</v>
      </c>
      <c r="G126" s="194"/>
      <c r="H126" s="194"/>
      <c r="I126" s="194"/>
      <c r="J126" s="194"/>
      <c r="K126" s="194"/>
    </row>
    <row r="127" ht="16.5" customHeight="1">
      <c r="A127" s="233"/>
      <c r="B127" s="74" t="s">
        <v>83</v>
      </c>
      <c r="C127" s="220">
        <v>44139.0</v>
      </c>
      <c r="D127" s="221">
        <v>134.25</v>
      </c>
      <c r="E127" s="222" t="s">
        <v>108</v>
      </c>
      <c r="F127" s="187" t="s">
        <v>184</v>
      </c>
      <c r="G127" s="187"/>
      <c r="H127" s="187"/>
      <c r="I127" s="187"/>
      <c r="J127" s="187"/>
      <c r="K127" s="187"/>
    </row>
    <row r="128" ht="16.5" customHeight="1">
      <c r="A128" s="234"/>
      <c r="B128" s="235" t="s">
        <v>83</v>
      </c>
      <c r="C128" s="225">
        <v>44139.0</v>
      </c>
      <c r="D128" s="226">
        <v>18.75</v>
      </c>
      <c r="E128" s="227" t="s">
        <v>108</v>
      </c>
      <c r="F128" s="194" t="s">
        <v>185</v>
      </c>
      <c r="G128" s="194"/>
      <c r="H128" s="194"/>
      <c r="I128" s="194"/>
      <c r="J128" s="194"/>
      <c r="K128" s="194"/>
    </row>
    <row r="129" ht="16.5" customHeight="1">
      <c r="A129" s="233"/>
      <c r="B129" s="74" t="s">
        <v>83</v>
      </c>
      <c r="C129" s="220">
        <v>44139.0</v>
      </c>
      <c r="D129" s="221">
        <v>104.38</v>
      </c>
      <c r="E129" s="222" t="s">
        <v>108</v>
      </c>
      <c r="F129" s="187" t="s">
        <v>186</v>
      </c>
      <c r="G129" s="187"/>
      <c r="H129" s="187"/>
      <c r="I129" s="187"/>
      <c r="J129" s="187"/>
      <c r="K129" s="187"/>
    </row>
    <row r="130" ht="16.5" customHeight="1">
      <c r="A130" s="234"/>
      <c r="B130" s="235" t="s">
        <v>83</v>
      </c>
      <c r="C130" s="225">
        <v>44139.0</v>
      </c>
      <c r="D130" s="226">
        <v>50.91</v>
      </c>
      <c r="E130" s="227" t="s">
        <v>108</v>
      </c>
      <c r="F130" s="194" t="s">
        <v>187</v>
      </c>
      <c r="G130" s="194"/>
      <c r="H130" s="194"/>
      <c r="I130" s="194"/>
      <c r="J130" s="194"/>
      <c r="K130" s="194"/>
    </row>
    <row r="131" ht="16.5" customHeight="1">
      <c r="A131" s="233"/>
      <c r="B131" s="74" t="s">
        <v>86</v>
      </c>
      <c r="C131" s="220">
        <v>44140.0</v>
      </c>
      <c r="D131" s="221">
        <v>30.0</v>
      </c>
      <c r="E131" s="222" t="s">
        <v>108</v>
      </c>
      <c r="F131" s="187" t="s">
        <v>188</v>
      </c>
      <c r="G131" s="187"/>
      <c r="H131" s="187"/>
      <c r="I131" s="187"/>
      <c r="J131" s="187"/>
      <c r="K131" s="187"/>
    </row>
    <row r="132" ht="16.5" customHeight="1">
      <c r="A132" s="234"/>
      <c r="B132" s="235" t="s">
        <v>89</v>
      </c>
      <c r="C132" s="225">
        <v>44172.0</v>
      </c>
      <c r="D132" s="226" t="s">
        <v>189</v>
      </c>
      <c r="E132" s="227" t="s">
        <v>108</v>
      </c>
      <c r="F132" s="194" t="s">
        <v>115</v>
      </c>
      <c r="G132" s="194"/>
      <c r="H132" s="194"/>
      <c r="I132" s="194"/>
      <c r="J132" s="194"/>
      <c r="K132" s="194"/>
    </row>
    <row r="133" ht="16.5" customHeight="1">
      <c r="A133" s="233"/>
      <c r="B133" s="74" t="s">
        <v>71</v>
      </c>
      <c r="C133" s="220">
        <v>44172.0</v>
      </c>
      <c r="D133" s="221">
        <v>585.0</v>
      </c>
      <c r="E133" s="222" t="s">
        <v>108</v>
      </c>
      <c r="F133" s="187" t="s">
        <v>188</v>
      </c>
      <c r="G133" s="187"/>
      <c r="H133" s="187"/>
      <c r="I133" s="187"/>
      <c r="J133" s="187"/>
      <c r="K133" s="187"/>
    </row>
    <row r="134" ht="16.5" customHeight="1">
      <c r="A134" s="234"/>
      <c r="B134" s="235" t="s">
        <v>81</v>
      </c>
      <c r="C134" s="225">
        <v>44537.0</v>
      </c>
      <c r="D134" s="226">
        <v>10.0</v>
      </c>
      <c r="E134" s="227" t="s">
        <v>108</v>
      </c>
      <c r="F134" s="194" t="s">
        <v>188</v>
      </c>
      <c r="G134" s="194"/>
      <c r="H134" s="194"/>
      <c r="I134" s="194"/>
      <c r="J134" s="194"/>
      <c r="K134" s="194"/>
    </row>
    <row r="135" ht="15.75" customHeight="1">
      <c r="A135" s="233"/>
      <c r="B135" s="74" t="s">
        <v>71</v>
      </c>
      <c r="C135" s="220">
        <v>44537.0</v>
      </c>
      <c r="D135" s="221">
        <v>750.0</v>
      </c>
      <c r="E135" s="222" t="s">
        <v>108</v>
      </c>
      <c r="F135" s="187" t="s">
        <v>190</v>
      </c>
      <c r="G135" s="187"/>
      <c r="H135" s="187"/>
      <c r="I135" s="187"/>
      <c r="J135" s="187"/>
      <c r="K135" s="187"/>
    </row>
    <row r="136" ht="16.5" customHeight="1">
      <c r="A136" s="234"/>
      <c r="B136" s="235" t="s">
        <v>83</v>
      </c>
      <c r="C136" s="225">
        <v>44537.0</v>
      </c>
      <c r="D136" s="226">
        <v>76.95</v>
      </c>
      <c r="E136" s="227" t="s">
        <v>108</v>
      </c>
      <c r="F136" s="194" t="s">
        <v>191</v>
      </c>
      <c r="G136" s="194"/>
      <c r="H136" s="194"/>
      <c r="I136" s="194"/>
      <c r="J136" s="194"/>
      <c r="K136" s="194"/>
    </row>
    <row r="137" ht="16.5" customHeight="1">
      <c r="A137" s="233"/>
      <c r="B137" s="74" t="s">
        <v>89</v>
      </c>
      <c r="C137" s="220">
        <v>44537.0</v>
      </c>
      <c r="D137" s="221" t="s">
        <v>192</v>
      </c>
      <c r="E137" s="222" t="s">
        <v>108</v>
      </c>
      <c r="F137" s="187" t="s">
        <v>115</v>
      </c>
      <c r="G137" s="187"/>
      <c r="H137" s="187"/>
      <c r="I137" s="187"/>
      <c r="J137" s="187"/>
      <c r="K137" s="187"/>
    </row>
    <row r="138" ht="16.5" customHeight="1">
      <c r="A138" s="234"/>
      <c r="B138" s="235" t="s">
        <v>83</v>
      </c>
      <c r="C138" s="225">
        <v>44538.0</v>
      </c>
      <c r="D138" s="226">
        <v>3327.56</v>
      </c>
      <c r="E138" s="227" t="s">
        <v>108</v>
      </c>
      <c r="F138" s="194" t="s">
        <v>193</v>
      </c>
      <c r="G138" s="194"/>
      <c r="H138" s="194"/>
      <c r="I138" s="194"/>
      <c r="J138" s="194"/>
      <c r="K138" s="194"/>
    </row>
    <row r="139" ht="16.5" customHeight="1">
      <c r="A139" s="233"/>
      <c r="B139" s="74" t="s">
        <v>87</v>
      </c>
      <c r="C139" s="220">
        <v>44172.0</v>
      </c>
      <c r="D139" s="221">
        <v>120.0</v>
      </c>
      <c r="E139" s="222" t="s">
        <v>108</v>
      </c>
      <c r="F139" s="187" t="s">
        <v>194</v>
      </c>
      <c r="G139" s="187"/>
      <c r="H139" s="187"/>
      <c r="I139" s="187"/>
      <c r="J139" s="187"/>
      <c r="K139" s="187"/>
    </row>
    <row r="140" ht="16.5" customHeight="1">
      <c r="A140" s="234"/>
      <c r="B140" s="235" t="s">
        <v>87</v>
      </c>
      <c r="C140" s="225">
        <v>44172.0</v>
      </c>
      <c r="D140" s="226">
        <v>27.0</v>
      </c>
      <c r="E140" s="227" t="s">
        <v>108</v>
      </c>
      <c r="F140" s="194" t="s">
        <v>137</v>
      </c>
      <c r="G140" s="194"/>
      <c r="H140" s="194"/>
      <c r="I140" s="194"/>
      <c r="J140" s="194"/>
      <c r="K140" s="194"/>
    </row>
    <row r="141" ht="16.5" customHeight="1">
      <c r="A141" s="233"/>
      <c r="B141" s="74" t="s">
        <v>87</v>
      </c>
      <c r="C141" s="220">
        <v>44172.0</v>
      </c>
      <c r="D141" s="221">
        <v>250.0</v>
      </c>
      <c r="E141" s="222" t="s">
        <v>108</v>
      </c>
      <c r="F141" s="187" t="s">
        <v>166</v>
      </c>
      <c r="G141" s="187"/>
      <c r="H141" s="187"/>
      <c r="I141" s="187"/>
      <c r="J141" s="187"/>
      <c r="K141" s="187"/>
    </row>
    <row r="142" ht="16.5" customHeight="1">
      <c r="A142" s="234"/>
      <c r="B142" s="235" t="s">
        <v>92</v>
      </c>
      <c r="C142" s="225">
        <v>44172.0</v>
      </c>
      <c r="D142" s="226">
        <v>158.3</v>
      </c>
      <c r="E142" s="227" t="s">
        <v>108</v>
      </c>
      <c r="F142" s="194" t="s">
        <v>137</v>
      </c>
      <c r="G142" s="194"/>
      <c r="H142" s="194"/>
      <c r="I142" s="194"/>
      <c r="J142" s="194"/>
      <c r="K142" s="194"/>
    </row>
    <row r="143" ht="16.5" customHeight="1">
      <c r="A143" s="233"/>
      <c r="B143" s="74" t="s">
        <v>140</v>
      </c>
      <c r="C143" s="220">
        <v>44173.0</v>
      </c>
      <c r="D143" s="221">
        <v>20.0</v>
      </c>
      <c r="E143" s="222" t="s">
        <v>108</v>
      </c>
      <c r="F143" s="187" t="s">
        <v>195</v>
      </c>
      <c r="G143" s="187"/>
      <c r="H143" s="187"/>
      <c r="I143" s="187"/>
      <c r="J143" s="187"/>
      <c r="K143" s="187"/>
    </row>
    <row r="144" ht="16.5" customHeight="1">
      <c r="A144" s="234"/>
      <c r="B144" s="235" t="s">
        <v>90</v>
      </c>
      <c r="C144" s="225">
        <v>44175.0</v>
      </c>
      <c r="D144" s="226">
        <v>95.0</v>
      </c>
      <c r="E144" s="227" t="s">
        <v>108</v>
      </c>
      <c r="F144" s="194" t="s">
        <v>188</v>
      </c>
      <c r="G144" s="194"/>
      <c r="H144" s="194"/>
      <c r="I144" s="194"/>
      <c r="J144" s="194"/>
      <c r="K144" s="194"/>
    </row>
    <row r="145" ht="16.5" customHeight="1">
      <c r="A145" s="233"/>
      <c r="B145" s="74" t="s">
        <v>83</v>
      </c>
      <c r="C145" s="220">
        <v>44183.0</v>
      </c>
      <c r="D145" s="221">
        <v>105.83</v>
      </c>
      <c r="E145" s="222" t="s">
        <v>108</v>
      </c>
      <c r="F145" s="187" t="s">
        <v>196</v>
      </c>
      <c r="G145" s="187"/>
      <c r="H145" s="187"/>
      <c r="I145" s="187"/>
      <c r="J145" s="187"/>
      <c r="K145" s="187"/>
    </row>
    <row r="146" ht="16.5" customHeight="1">
      <c r="A146" s="234"/>
      <c r="B146" s="235" t="s">
        <v>93</v>
      </c>
      <c r="C146" s="225">
        <v>44183.0</v>
      </c>
      <c r="D146" s="226">
        <v>95.0</v>
      </c>
      <c r="E146" s="227" t="s">
        <v>108</v>
      </c>
      <c r="F146" s="194" t="s">
        <v>197</v>
      </c>
      <c r="G146" s="194"/>
      <c r="H146" s="194"/>
      <c r="I146" s="194"/>
      <c r="J146" s="194"/>
      <c r="K146" s="194"/>
    </row>
    <row r="147" ht="16.5" customHeight="1">
      <c r="A147" s="233"/>
      <c r="B147" s="74" t="s">
        <v>71</v>
      </c>
      <c r="C147" s="220">
        <v>44183.0</v>
      </c>
      <c r="D147" s="221">
        <v>55.0</v>
      </c>
      <c r="E147" s="222" t="s">
        <v>108</v>
      </c>
      <c r="F147" s="187" t="s">
        <v>198</v>
      </c>
      <c r="G147" s="187"/>
      <c r="H147" s="187"/>
      <c r="I147" s="187"/>
      <c r="J147" s="187"/>
      <c r="K147" s="187"/>
    </row>
    <row r="148" ht="16.5" customHeight="1">
      <c r="A148" s="234"/>
      <c r="B148" s="235" t="s">
        <v>71</v>
      </c>
      <c r="C148" s="225">
        <v>44183.0</v>
      </c>
      <c r="D148" s="226">
        <v>3545.0</v>
      </c>
      <c r="E148" s="227" t="s">
        <v>108</v>
      </c>
      <c r="F148" s="194" t="s">
        <v>137</v>
      </c>
      <c r="G148" s="194"/>
      <c r="H148" s="194"/>
      <c r="I148" s="194"/>
      <c r="J148" s="194"/>
      <c r="K148" s="194"/>
    </row>
    <row r="149" ht="16.5" customHeight="1">
      <c r="A149" s="233"/>
      <c r="B149" s="74" t="s">
        <v>71</v>
      </c>
      <c r="C149" s="220">
        <v>44193.0</v>
      </c>
      <c r="D149" s="221">
        <v>130.0</v>
      </c>
      <c r="E149" s="222" t="s">
        <v>108</v>
      </c>
      <c r="F149" s="187" t="s">
        <v>199</v>
      </c>
      <c r="G149" s="187"/>
      <c r="H149" s="187"/>
      <c r="I149" s="187"/>
      <c r="J149" s="187"/>
      <c r="K149" s="187"/>
    </row>
    <row r="150" ht="16.5" customHeight="1">
      <c r="A150" s="234"/>
      <c r="B150" s="235" t="s">
        <v>86</v>
      </c>
      <c r="C150" s="225">
        <v>44193.0</v>
      </c>
      <c r="D150" s="226">
        <v>10.0</v>
      </c>
      <c r="E150" s="227" t="s">
        <v>108</v>
      </c>
      <c r="F150" s="194" t="s">
        <v>200</v>
      </c>
      <c r="G150" s="194"/>
      <c r="H150" s="194"/>
      <c r="I150" s="194"/>
      <c r="J150" s="194"/>
      <c r="K150" s="194"/>
    </row>
    <row r="151" ht="16.5" customHeight="1">
      <c r="A151" s="233"/>
      <c r="B151" s="74" t="s">
        <v>87</v>
      </c>
      <c r="C151" s="220">
        <v>44195.0</v>
      </c>
      <c r="D151" s="221">
        <v>5.39</v>
      </c>
      <c r="E151" s="222" t="s">
        <v>108</v>
      </c>
      <c r="F151" s="187" t="s">
        <v>188</v>
      </c>
      <c r="G151" s="187"/>
      <c r="H151" s="187"/>
      <c r="I151" s="187"/>
      <c r="J151" s="187"/>
      <c r="K151" s="187"/>
    </row>
    <row r="152" ht="16.5" customHeight="1">
      <c r="A152" s="234"/>
      <c r="B152" s="235" t="s">
        <v>81</v>
      </c>
      <c r="C152" s="225">
        <v>44197.0</v>
      </c>
      <c r="D152" s="226">
        <v>268.94</v>
      </c>
      <c r="E152" s="227" t="s">
        <v>108</v>
      </c>
      <c r="F152" s="194" t="s">
        <v>137</v>
      </c>
      <c r="G152" s="194"/>
      <c r="H152" s="194"/>
      <c r="I152" s="194"/>
      <c r="J152" s="194"/>
      <c r="K152" s="194"/>
    </row>
    <row r="153" ht="16.5" customHeight="1">
      <c r="A153" s="233"/>
      <c r="B153" s="74" t="s">
        <v>87</v>
      </c>
      <c r="C153" s="220">
        <v>44197.0</v>
      </c>
      <c r="D153" s="221">
        <v>250.0</v>
      </c>
      <c r="E153" s="222" t="s">
        <v>108</v>
      </c>
      <c r="F153" s="187" t="s">
        <v>166</v>
      </c>
      <c r="G153" s="187"/>
      <c r="H153" s="187"/>
      <c r="I153" s="187"/>
      <c r="J153" s="187"/>
      <c r="K153" s="187"/>
    </row>
    <row r="154" ht="16.5" customHeight="1">
      <c r="A154" s="234"/>
      <c r="B154" s="235" t="s">
        <v>85</v>
      </c>
      <c r="C154" s="225">
        <v>44203.0</v>
      </c>
      <c r="D154" s="226">
        <v>90.0</v>
      </c>
      <c r="E154" s="227" t="s">
        <v>108</v>
      </c>
      <c r="F154" s="194" t="s">
        <v>149</v>
      </c>
      <c r="G154" s="194"/>
      <c r="H154" s="194"/>
      <c r="I154" s="194"/>
      <c r="J154" s="194"/>
      <c r="K154" s="194"/>
    </row>
    <row r="155" ht="16.5" customHeight="1">
      <c r="A155" s="233"/>
      <c r="B155" s="74" t="s">
        <v>93</v>
      </c>
      <c r="C155" s="220">
        <v>44203.0</v>
      </c>
      <c r="D155" s="221">
        <v>47.5</v>
      </c>
      <c r="E155" s="222" t="s">
        <v>108</v>
      </c>
      <c r="F155" s="187" t="s">
        <v>201</v>
      </c>
      <c r="G155" s="187"/>
      <c r="H155" s="187"/>
      <c r="I155" s="187"/>
      <c r="J155" s="187"/>
      <c r="K155" s="187"/>
    </row>
    <row r="156" ht="16.5" customHeight="1">
      <c r="A156" s="234"/>
      <c r="B156" s="235" t="s">
        <v>81</v>
      </c>
      <c r="C156" s="225">
        <v>44207.0</v>
      </c>
      <c r="D156" s="226">
        <v>42.48</v>
      </c>
      <c r="E156" s="227" t="s">
        <v>108</v>
      </c>
      <c r="F156" s="194" t="s">
        <v>137</v>
      </c>
      <c r="G156" s="194"/>
      <c r="H156" s="194"/>
      <c r="I156" s="194"/>
      <c r="J156" s="194"/>
      <c r="K156" s="194"/>
    </row>
    <row r="157" ht="16.5" customHeight="1">
      <c r="A157" s="233"/>
      <c r="B157" s="74" t="s">
        <v>83</v>
      </c>
      <c r="C157" s="220">
        <v>44220.0</v>
      </c>
      <c r="D157" s="221">
        <v>35.15</v>
      </c>
      <c r="E157" s="222" t="s">
        <v>108</v>
      </c>
      <c r="F157" s="187" t="s">
        <v>202</v>
      </c>
      <c r="G157" s="187"/>
      <c r="H157" s="187"/>
      <c r="I157" s="187"/>
      <c r="J157" s="187"/>
      <c r="K157" s="187"/>
    </row>
    <row r="158" ht="16.5" customHeight="1">
      <c r="A158" s="234"/>
      <c r="B158" s="235" t="s">
        <v>90</v>
      </c>
      <c r="C158" s="225">
        <v>44224.0</v>
      </c>
      <c r="D158" s="226">
        <v>12.0</v>
      </c>
      <c r="E158" s="227" t="s">
        <v>108</v>
      </c>
      <c r="F158" s="194" t="s">
        <v>137</v>
      </c>
      <c r="G158" s="194"/>
      <c r="H158" s="194"/>
      <c r="I158" s="194"/>
      <c r="J158" s="194"/>
      <c r="K158" s="194"/>
    </row>
    <row r="159" ht="16.5" customHeight="1">
      <c r="A159" s="233"/>
      <c r="B159" s="74" t="s">
        <v>87</v>
      </c>
      <c r="C159" s="220">
        <v>44233.0</v>
      </c>
      <c r="D159" s="221">
        <v>125.0</v>
      </c>
      <c r="E159" s="236" t="s">
        <v>108</v>
      </c>
      <c r="F159" s="237" t="s">
        <v>166</v>
      </c>
      <c r="G159" s="237"/>
      <c r="H159" s="237"/>
      <c r="I159" s="237"/>
      <c r="J159" s="237"/>
      <c r="K159" s="237"/>
    </row>
    <row r="160" ht="16.5" customHeight="1">
      <c r="A160" s="234"/>
      <c r="B160" s="235" t="s">
        <v>93</v>
      </c>
      <c r="C160" s="225">
        <v>44233.0</v>
      </c>
      <c r="D160" s="226">
        <v>226.0</v>
      </c>
      <c r="F160" s="238" t="s">
        <v>203</v>
      </c>
      <c r="G160" s="238"/>
      <c r="H160" s="238"/>
      <c r="I160" s="238"/>
      <c r="J160" s="238"/>
      <c r="K160" s="238"/>
    </row>
    <row r="161" ht="16.5" customHeight="1">
      <c r="A161" s="233"/>
      <c r="B161" s="74" t="s">
        <v>93</v>
      </c>
      <c r="C161" s="220">
        <v>44236.0</v>
      </c>
      <c r="D161" s="221" t="s">
        <v>204</v>
      </c>
      <c r="F161" s="237" t="s">
        <v>205</v>
      </c>
      <c r="G161" s="237"/>
      <c r="H161" s="237"/>
      <c r="I161" s="237"/>
      <c r="J161" s="237"/>
      <c r="K161" s="237"/>
    </row>
    <row r="162" ht="16.5" customHeight="1">
      <c r="A162" s="234"/>
      <c r="B162" s="235" t="s">
        <v>87</v>
      </c>
      <c r="C162" s="225">
        <v>44241.0</v>
      </c>
      <c r="D162" s="226">
        <v>38.04</v>
      </c>
      <c r="F162" s="238" t="s">
        <v>206</v>
      </c>
      <c r="G162" s="238"/>
      <c r="H162" s="238"/>
      <c r="I162" s="238"/>
      <c r="J162" s="238"/>
      <c r="K162" s="238"/>
    </row>
    <row r="163" ht="16.5" customHeight="1">
      <c r="A163" s="233"/>
      <c r="B163" s="74" t="s">
        <v>93</v>
      </c>
      <c r="C163" s="220">
        <v>44250.0</v>
      </c>
      <c r="D163" s="221">
        <v>312.4</v>
      </c>
      <c r="F163" s="237" t="s">
        <v>207</v>
      </c>
      <c r="G163" s="237"/>
      <c r="H163" s="237"/>
      <c r="I163" s="237"/>
      <c r="J163" s="237"/>
      <c r="K163" s="237"/>
    </row>
    <row r="164" ht="16.5" customHeight="1">
      <c r="A164" s="234"/>
      <c r="B164" s="235" t="s">
        <v>85</v>
      </c>
      <c r="C164" s="225">
        <v>44258.0</v>
      </c>
      <c r="D164" s="226">
        <v>98.5</v>
      </c>
      <c r="F164" s="238" t="s">
        <v>208</v>
      </c>
      <c r="G164" s="238"/>
      <c r="H164" s="238"/>
      <c r="I164" s="238"/>
      <c r="J164" s="238"/>
      <c r="K164" s="238"/>
    </row>
    <row r="165" ht="16.5" customHeight="1">
      <c r="A165" s="233"/>
      <c r="B165" s="74" t="s">
        <v>87</v>
      </c>
      <c r="C165" s="220">
        <v>44259.0</v>
      </c>
      <c r="D165" s="221">
        <v>125.0</v>
      </c>
      <c r="F165" s="237" t="s">
        <v>166</v>
      </c>
      <c r="G165" s="237"/>
      <c r="H165" s="237"/>
      <c r="I165" s="237"/>
      <c r="J165" s="237"/>
      <c r="K165" s="237"/>
    </row>
    <row r="166" ht="16.5" customHeight="1">
      <c r="A166" s="234"/>
      <c r="B166" s="235" t="s">
        <v>97</v>
      </c>
      <c r="C166" s="225">
        <v>44259.0</v>
      </c>
      <c r="D166" s="226">
        <v>50.0</v>
      </c>
      <c r="F166" s="238" t="s">
        <v>115</v>
      </c>
      <c r="G166" s="238"/>
      <c r="H166" s="238"/>
      <c r="I166" s="238"/>
      <c r="J166" s="238"/>
      <c r="K166" s="238"/>
    </row>
    <row r="167" ht="16.5" customHeight="1">
      <c r="A167" s="233"/>
      <c r="B167" s="74" t="s">
        <v>83</v>
      </c>
      <c r="C167" s="220">
        <v>44264.0</v>
      </c>
      <c r="D167" s="221">
        <v>73.25</v>
      </c>
      <c r="F167" s="237" t="s">
        <v>209</v>
      </c>
      <c r="G167" s="237"/>
      <c r="H167" s="237"/>
      <c r="I167" s="237"/>
      <c r="J167" s="237"/>
      <c r="K167" s="237"/>
    </row>
    <row r="168" ht="16.5" customHeight="1">
      <c r="A168" s="234"/>
      <c r="B168" s="235" t="s">
        <v>85</v>
      </c>
      <c r="C168" s="225">
        <v>44273.0</v>
      </c>
      <c r="D168" s="226">
        <v>21.98</v>
      </c>
      <c r="F168" s="238" t="s">
        <v>137</v>
      </c>
      <c r="G168" s="238"/>
      <c r="H168" s="238"/>
      <c r="I168" s="238"/>
      <c r="J168" s="238"/>
      <c r="K168" s="238"/>
    </row>
    <row r="169" ht="16.5" customHeight="1">
      <c r="A169" s="233"/>
      <c r="B169" s="74" t="s">
        <v>83</v>
      </c>
      <c r="C169" s="220">
        <v>44273.0</v>
      </c>
      <c r="D169" s="221">
        <v>679.91</v>
      </c>
      <c r="F169" s="237" t="s">
        <v>210</v>
      </c>
      <c r="G169" s="237"/>
      <c r="H169" s="237"/>
      <c r="I169" s="237"/>
      <c r="J169" s="237"/>
      <c r="K169" s="237"/>
    </row>
    <row r="170" ht="16.5" customHeight="1">
      <c r="A170" s="234"/>
      <c r="B170" s="235" t="s">
        <v>93</v>
      </c>
      <c r="C170" s="225">
        <v>44273.0</v>
      </c>
      <c r="D170" s="226">
        <v>120.0</v>
      </c>
      <c r="F170" s="238" t="s">
        <v>211</v>
      </c>
      <c r="G170" s="238"/>
      <c r="H170" s="238"/>
      <c r="I170" s="238"/>
      <c r="J170" s="238"/>
      <c r="K170" s="238"/>
    </row>
    <row r="171" ht="16.5" customHeight="1">
      <c r="A171" s="239"/>
      <c r="B171" s="74" t="s">
        <v>85</v>
      </c>
      <c r="C171" s="220">
        <v>44276.0</v>
      </c>
      <c r="D171" s="221" t="s">
        <v>212</v>
      </c>
      <c r="F171" s="237" t="s">
        <v>188</v>
      </c>
      <c r="G171" s="240"/>
      <c r="H171" s="240"/>
      <c r="I171" s="240"/>
      <c r="J171" s="240"/>
      <c r="K171" s="240"/>
    </row>
    <row r="172" ht="16.5" customHeight="1">
      <c r="A172" s="234"/>
      <c r="B172" s="235" t="s">
        <v>81</v>
      </c>
      <c r="C172" s="225">
        <v>44277.0</v>
      </c>
      <c r="D172" s="226">
        <v>55.98</v>
      </c>
      <c r="E172" s="241"/>
      <c r="F172" s="238" t="s">
        <v>188</v>
      </c>
      <c r="G172" s="194"/>
      <c r="H172" s="194"/>
      <c r="I172" s="194"/>
      <c r="J172" s="194"/>
      <c r="K172" s="194"/>
    </row>
    <row r="173" ht="16.5" customHeight="1">
      <c r="A173" s="233"/>
      <c r="B173" s="74" t="s">
        <v>81</v>
      </c>
      <c r="C173" s="220">
        <v>44277.0</v>
      </c>
      <c r="D173" s="221">
        <v>386.99</v>
      </c>
      <c r="E173" s="242"/>
      <c r="F173" s="237" t="s">
        <v>188</v>
      </c>
      <c r="G173" s="187"/>
      <c r="H173" s="187"/>
      <c r="I173" s="187"/>
      <c r="J173" s="187"/>
      <c r="K173" s="187"/>
    </row>
    <row r="174" ht="15.75" customHeight="1">
      <c r="A174" s="234"/>
      <c r="B174" s="235" t="s">
        <v>85</v>
      </c>
      <c r="C174" s="225" t="s">
        <v>213</v>
      </c>
      <c r="D174" s="226">
        <v>50.0</v>
      </c>
      <c r="E174" s="194"/>
      <c r="F174" s="194" t="s">
        <v>118</v>
      </c>
      <c r="G174" s="194"/>
      <c r="H174" s="194"/>
      <c r="I174" s="194"/>
      <c r="J174" s="194"/>
      <c r="K174" s="194"/>
    </row>
    <row r="175" ht="15.75" customHeight="1">
      <c r="A175" s="233"/>
      <c r="B175" s="74" t="s">
        <v>83</v>
      </c>
      <c r="C175" s="243">
        <v>44287.0</v>
      </c>
      <c r="D175" s="244">
        <v>33.06</v>
      </c>
      <c r="E175" s="187"/>
      <c r="F175" s="187" t="s">
        <v>214</v>
      </c>
      <c r="G175" s="187"/>
      <c r="H175" s="187"/>
      <c r="I175" s="187"/>
      <c r="J175" s="187"/>
      <c r="K175" s="187"/>
    </row>
    <row r="176" ht="15.75" customHeight="1">
      <c r="A176" s="234"/>
      <c r="B176" s="235" t="s">
        <v>85</v>
      </c>
      <c r="C176" s="245">
        <v>44287.0</v>
      </c>
      <c r="D176" s="246">
        <v>27.99</v>
      </c>
      <c r="E176" s="194"/>
      <c r="F176" s="194" t="s">
        <v>188</v>
      </c>
      <c r="G176" s="194"/>
      <c r="H176" s="194"/>
      <c r="I176" s="194"/>
      <c r="J176" s="194"/>
      <c r="K176" s="194"/>
    </row>
    <row r="177" ht="15.75" customHeight="1">
      <c r="A177" s="233"/>
      <c r="B177" s="74" t="s">
        <v>86</v>
      </c>
      <c r="C177" s="243">
        <v>44287.0</v>
      </c>
      <c r="D177" s="244">
        <v>60.0</v>
      </c>
      <c r="E177" s="187"/>
      <c r="F177" s="187" t="s">
        <v>170</v>
      </c>
      <c r="G177" s="187"/>
      <c r="H177" s="187"/>
      <c r="I177" s="187"/>
      <c r="J177" s="187"/>
      <c r="K177" s="187"/>
    </row>
    <row r="178" ht="15.75" customHeight="1">
      <c r="A178" s="247"/>
      <c r="B178" s="248" t="s">
        <v>81</v>
      </c>
      <c r="C178" s="245">
        <v>44287.0</v>
      </c>
      <c r="D178" s="249">
        <v>143.4</v>
      </c>
      <c r="E178" s="250"/>
      <c r="F178" s="250" t="s">
        <v>118</v>
      </c>
      <c r="G178" s="250"/>
      <c r="H178" s="250"/>
      <c r="I178" s="250"/>
      <c r="J178" s="250"/>
      <c r="K178" s="250"/>
    </row>
    <row r="179" ht="15.75" customHeight="1">
      <c r="A179" s="233"/>
      <c r="B179" s="74" t="s">
        <v>86</v>
      </c>
      <c r="C179" s="243">
        <v>44287.0</v>
      </c>
      <c r="D179" s="244">
        <v>80.0</v>
      </c>
      <c r="E179" s="187"/>
      <c r="F179" s="187" t="s">
        <v>149</v>
      </c>
      <c r="G179" s="187"/>
      <c r="H179" s="187"/>
      <c r="I179" s="187"/>
      <c r="J179" s="187"/>
      <c r="K179" s="187"/>
    </row>
    <row r="180" ht="15.75" customHeight="1">
      <c r="A180" s="234"/>
      <c r="B180" s="235" t="s">
        <v>97</v>
      </c>
      <c r="C180" s="245">
        <v>44287.0</v>
      </c>
      <c r="D180" s="246">
        <v>20.0</v>
      </c>
      <c r="E180" s="194"/>
      <c r="F180" s="194" t="s">
        <v>149</v>
      </c>
      <c r="G180" s="194"/>
      <c r="H180" s="194"/>
      <c r="I180" s="194"/>
      <c r="J180" s="194"/>
      <c r="K180" s="194"/>
    </row>
    <row r="181" ht="15.75" customHeight="1">
      <c r="A181" s="233"/>
      <c r="B181" s="74" t="s">
        <v>86</v>
      </c>
      <c r="C181" s="243">
        <v>44292.0</v>
      </c>
      <c r="D181" s="244">
        <v>60.0</v>
      </c>
      <c r="E181" s="187"/>
      <c r="F181" s="187" t="s">
        <v>148</v>
      </c>
      <c r="G181" s="187"/>
      <c r="H181" s="187"/>
      <c r="I181" s="187"/>
      <c r="J181" s="187"/>
      <c r="K181" s="187"/>
    </row>
    <row r="182" ht="15.75" customHeight="1">
      <c r="A182" s="234"/>
      <c r="B182" s="235" t="s">
        <v>87</v>
      </c>
      <c r="C182" s="245">
        <v>44292.0</v>
      </c>
      <c r="D182" s="246">
        <v>125.0</v>
      </c>
      <c r="E182" s="194"/>
      <c r="F182" s="194" t="s">
        <v>166</v>
      </c>
      <c r="G182" s="194"/>
      <c r="H182" s="194"/>
      <c r="I182" s="194"/>
      <c r="J182" s="194"/>
      <c r="K182" s="194"/>
    </row>
    <row r="183" ht="15.75" customHeight="1">
      <c r="A183" s="233"/>
      <c r="B183" s="74" t="s">
        <v>81</v>
      </c>
      <c r="C183" s="243">
        <v>44292.0</v>
      </c>
      <c r="D183" s="244">
        <v>436.05</v>
      </c>
      <c r="E183" s="187"/>
      <c r="F183" s="187" t="s">
        <v>137</v>
      </c>
      <c r="G183" s="187"/>
      <c r="H183" s="187"/>
      <c r="I183" s="187"/>
      <c r="J183" s="187"/>
      <c r="K183" s="187"/>
    </row>
    <row r="184" ht="15.75" customHeight="1">
      <c r="A184" s="234"/>
      <c r="B184" s="235" t="s">
        <v>87</v>
      </c>
      <c r="C184" s="245">
        <v>44293.0</v>
      </c>
      <c r="D184" s="246">
        <v>13.72</v>
      </c>
      <c r="E184" s="194"/>
      <c r="F184" s="194" t="s">
        <v>215</v>
      </c>
      <c r="G184" s="194"/>
      <c r="H184" s="194"/>
      <c r="I184" s="194"/>
      <c r="J184" s="194"/>
      <c r="K184" s="194"/>
    </row>
    <row r="185" ht="15.75" customHeight="1">
      <c r="A185" s="233"/>
      <c r="B185" s="74" t="s">
        <v>86</v>
      </c>
      <c r="C185" s="243">
        <v>44293.0</v>
      </c>
      <c r="D185" s="244">
        <v>80.0</v>
      </c>
      <c r="E185" s="187"/>
      <c r="F185" s="187" t="s">
        <v>163</v>
      </c>
      <c r="G185" s="187"/>
      <c r="H185" s="187"/>
      <c r="I185" s="187"/>
      <c r="J185" s="187"/>
      <c r="K185" s="187"/>
    </row>
    <row r="186" ht="15.75" customHeight="1">
      <c r="A186" s="234"/>
      <c r="B186" s="235" t="s">
        <v>85</v>
      </c>
      <c r="C186" s="245">
        <v>44293.0</v>
      </c>
      <c r="D186" s="246">
        <v>1687.8</v>
      </c>
      <c r="E186" s="194"/>
      <c r="F186" s="194" t="s">
        <v>216</v>
      </c>
      <c r="G186" s="194"/>
      <c r="H186" s="194"/>
      <c r="I186" s="194"/>
      <c r="J186" s="194"/>
      <c r="K186" s="194"/>
    </row>
    <row r="187" ht="15.75" customHeight="1">
      <c r="A187" s="233"/>
      <c r="B187" s="74" t="s">
        <v>81</v>
      </c>
      <c r="C187" s="243">
        <v>44292.0</v>
      </c>
      <c r="D187" s="244">
        <v>779.82</v>
      </c>
      <c r="E187" s="187"/>
      <c r="F187" s="187" t="s">
        <v>217</v>
      </c>
      <c r="G187" s="187"/>
      <c r="H187" s="187"/>
      <c r="I187" s="187"/>
      <c r="J187" s="187"/>
      <c r="K187" s="187"/>
    </row>
    <row r="188" ht="15.75" customHeight="1">
      <c r="A188" s="234"/>
      <c r="B188" s="235" t="s">
        <v>81</v>
      </c>
      <c r="C188" s="245">
        <v>44294.0</v>
      </c>
      <c r="D188" s="246">
        <v>46.0</v>
      </c>
      <c r="E188" s="194"/>
      <c r="F188" s="187" t="s">
        <v>188</v>
      </c>
      <c r="G188" s="194"/>
      <c r="H188" s="194"/>
      <c r="I188" s="194"/>
      <c r="J188" s="194"/>
      <c r="K188" s="194"/>
    </row>
    <row r="189" ht="15.75" customHeight="1">
      <c r="A189" s="233"/>
      <c r="B189" s="74" t="s">
        <v>83</v>
      </c>
      <c r="C189" s="243">
        <v>44294.0</v>
      </c>
      <c r="D189" s="244">
        <v>147.89</v>
      </c>
      <c r="E189" s="187"/>
      <c r="F189" s="187" t="s">
        <v>218</v>
      </c>
      <c r="G189" s="187"/>
      <c r="H189" s="187"/>
      <c r="I189" s="187"/>
      <c r="J189" s="187"/>
      <c r="K189" s="187"/>
    </row>
    <row r="190" ht="15.75" customHeight="1">
      <c r="A190" s="234"/>
      <c r="B190" s="235" t="s">
        <v>86</v>
      </c>
      <c r="C190" s="245">
        <v>44294.0</v>
      </c>
      <c r="D190" s="246">
        <v>80.0</v>
      </c>
      <c r="E190" s="194"/>
      <c r="F190" s="194" t="s">
        <v>219</v>
      </c>
      <c r="G190" s="194"/>
      <c r="H190" s="194"/>
      <c r="I190" s="194"/>
      <c r="J190" s="194"/>
      <c r="K190" s="194"/>
    </row>
    <row r="191" ht="15.75" customHeight="1">
      <c r="A191" s="233"/>
      <c r="B191" s="74" t="s">
        <v>85</v>
      </c>
      <c r="C191" s="243">
        <v>44295.0</v>
      </c>
      <c r="D191" s="244">
        <v>20.0</v>
      </c>
      <c r="E191" s="187"/>
      <c r="F191" s="187" t="s">
        <v>220</v>
      </c>
      <c r="G191" s="187"/>
      <c r="H191" s="187"/>
      <c r="I191" s="187"/>
      <c r="J191" s="187"/>
      <c r="K191" s="187"/>
    </row>
    <row r="192" ht="15.75" customHeight="1">
      <c r="A192" s="234"/>
      <c r="B192" s="235" t="s">
        <v>85</v>
      </c>
      <c r="C192" s="225">
        <v>44299.0</v>
      </c>
      <c r="D192" s="246">
        <v>39.5</v>
      </c>
      <c r="E192" s="194" t="s">
        <v>188</v>
      </c>
      <c r="F192" s="194" t="s">
        <v>188</v>
      </c>
      <c r="G192" s="194"/>
      <c r="H192" s="194"/>
      <c r="I192" s="194"/>
      <c r="J192" s="194"/>
      <c r="K192" s="194"/>
    </row>
    <row r="193" ht="15.75" customHeight="1">
      <c r="A193" s="233"/>
      <c r="B193" s="74" t="s">
        <v>86</v>
      </c>
      <c r="C193" s="220">
        <v>44299.0</v>
      </c>
      <c r="D193" s="244">
        <v>70.0</v>
      </c>
      <c r="E193" s="187" t="s">
        <v>153</v>
      </c>
      <c r="F193" s="187" t="s">
        <v>153</v>
      </c>
      <c r="G193" s="187"/>
      <c r="H193" s="187"/>
      <c r="I193" s="187"/>
      <c r="J193" s="187"/>
      <c r="K193" s="187"/>
    </row>
    <row r="194" ht="15.75" customHeight="1">
      <c r="A194" s="234"/>
      <c r="B194" s="235" t="s">
        <v>85</v>
      </c>
      <c r="C194" s="225">
        <v>44299.0</v>
      </c>
      <c r="D194" s="246">
        <v>270.0</v>
      </c>
      <c r="E194" s="194" t="s">
        <v>221</v>
      </c>
      <c r="F194" s="194" t="s">
        <v>221</v>
      </c>
      <c r="G194" s="194"/>
      <c r="H194" s="194"/>
      <c r="I194" s="194"/>
      <c r="J194" s="194"/>
      <c r="K194" s="194"/>
    </row>
    <row r="195" ht="15.75" customHeight="1">
      <c r="A195" s="233"/>
      <c r="B195" s="74" t="s">
        <v>86</v>
      </c>
      <c r="C195" s="220">
        <v>44301.0</v>
      </c>
      <c r="D195" s="244">
        <v>120.0</v>
      </c>
      <c r="E195" s="187" t="s">
        <v>142</v>
      </c>
      <c r="F195" s="187" t="s">
        <v>142</v>
      </c>
      <c r="G195" s="187"/>
      <c r="H195" s="187"/>
      <c r="I195" s="187"/>
      <c r="J195" s="187"/>
      <c r="K195" s="187"/>
    </row>
    <row r="196" ht="15.75" customHeight="1">
      <c r="A196" s="234"/>
      <c r="B196" s="235" t="s">
        <v>86</v>
      </c>
      <c r="C196" s="225">
        <v>44301.0</v>
      </c>
      <c r="D196" s="246">
        <v>120.0</v>
      </c>
      <c r="E196" s="194" t="s">
        <v>222</v>
      </c>
      <c r="F196" s="194" t="s">
        <v>222</v>
      </c>
      <c r="G196" s="194"/>
      <c r="H196" s="194"/>
      <c r="I196" s="194"/>
      <c r="J196" s="194"/>
      <c r="K196" s="194"/>
    </row>
    <row r="197" ht="15.75" customHeight="1">
      <c r="A197" s="233"/>
      <c r="B197" s="74" t="s">
        <v>88</v>
      </c>
      <c r="C197" s="220">
        <v>44301.0</v>
      </c>
      <c r="D197" s="244">
        <v>9.26</v>
      </c>
      <c r="E197" s="187" t="s">
        <v>223</v>
      </c>
      <c r="F197" s="187" t="s">
        <v>223</v>
      </c>
      <c r="G197" s="187"/>
      <c r="H197" s="187"/>
      <c r="I197" s="187"/>
      <c r="J197" s="187"/>
      <c r="K197" s="187"/>
    </row>
    <row r="198" ht="15.75" customHeight="1">
      <c r="A198" s="234"/>
      <c r="B198" s="235" t="s">
        <v>88</v>
      </c>
      <c r="C198" s="225">
        <v>44301.0</v>
      </c>
      <c r="D198" s="246">
        <v>125.29</v>
      </c>
      <c r="E198" s="194" t="s">
        <v>224</v>
      </c>
      <c r="F198" s="194" t="s">
        <v>224</v>
      </c>
      <c r="G198" s="194"/>
      <c r="H198" s="194"/>
      <c r="I198" s="194"/>
      <c r="J198" s="194"/>
      <c r="K198" s="194"/>
    </row>
    <row r="199" ht="15.75" customHeight="1">
      <c r="A199" s="233"/>
      <c r="B199" s="74" t="s">
        <v>88</v>
      </c>
      <c r="C199" s="220">
        <v>44301.0</v>
      </c>
      <c r="D199" s="244">
        <v>22.73</v>
      </c>
      <c r="E199" s="187" t="s">
        <v>225</v>
      </c>
      <c r="F199" s="187" t="s">
        <v>225</v>
      </c>
      <c r="G199" s="187"/>
      <c r="H199" s="187"/>
      <c r="I199" s="187"/>
      <c r="J199" s="187"/>
      <c r="K199" s="187"/>
    </row>
    <row r="200" ht="15.75" customHeight="1">
      <c r="A200" s="234"/>
      <c r="B200" s="235" t="s">
        <v>88</v>
      </c>
      <c r="C200" s="225">
        <v>44301.0</v>
      </c>
      <c r="D200" s="246">
        <v>6.0</v>
      </c>
      <c r="E200" s="194" t="s">
        <v>226</v>
      </c>
      <c r="F200" s="194" t="s">
        <v>226</v>
      </c>
      <c r="G200" s="194"/>
      <c r="H200" s="194"/>
      <c r="I200" s="194"/>
      <c r="J200" s="194"/>
      <c r="K200" s="194"/>
    </row>
    <row r="201" ht="15.75" customHeight="1">
      <c r="A201" s="233"/>
      <c r="B201" s="74" t="s">
        <v>83</v>
      </c>
      <c r="C201" s="220">
        <v>44302.0</v>
      </c>
      <c r="D201" s="244">
        <v>54.0</v>
      </c>
      <c r="E201" s="187" t="s">
        <v>227</v>
      </c>
      <c r="F201" s="187" t="s">
        <v>227</v>
      </c>
      <c r="G201" s="187"/>
      <c r="H201" s="187"/>
      <c r="I201" s="187"/>
      <c r="J201" s="187"/>
      <c r="K201" s="187"/>
    </row>
    <row r="202" ht="15.75" customHeight="1">
      <c r="A202" s="234"/>
      <c r="B202" s="235" t="s">
        <v>93</v>
      </c>
      <c r="C202" s="225">
        <v>44302.0</v>
      </c>
      <c r="D202" s="246">
        <v>44.0</v>
      </c>
      <c r="E202" s="194" t="s">
        <v>228</v>
      </c>
      <c r="F202" s="194" t="s">
        <v>228</v>
      </c>
      <c r="G202" s="194"/>
      <c r="H202" s="194"/>
      <c r="I202" s="194"/>
      <c r="J202" s="194"/>
      <c r="K202" s="194"/>
    </row>
    <row r="203" ht="15.75" customHeight="1">
      <c r="A203" s="233"/>
      <c r="B203" s="74" t="s">
        <v>87</v>
      </c>
      <c r="C203" s="220">
        <v>44302.0</v>
      </c>
      <c r="D203" s="244">
        <v>100.0</v>
      </c>
      <c r="E203" s="187" t="s">
        <v>125</v>
      </c>
      <c r="F203" s="187" t="s">
        <v>125</v>
      </c>
      <c r="G203" s="187"/>
      <c r="H203" s="187"/>
      <c r="I203" s="187"/>
      <c r="J203" s="187"/>
      <c r="K203" s="187"/>
    </row>
    <row r="204" ht="15.75" customHeight="1">
      <c r="A204" s="234"/>
      <c r="B204" s="235" t="s">
        <v>86</v>
      </c>
      <c r="C204" s="225">
        <v>44304.0</v>
      </c>
      <c r="D204" s="246">
        <v>30.0</v>
      </c>
      <c r="E204" s="194" t="s">
        <v>229</v>
      </c>
      <c r="F204" s="194" t="s">
        <v>229</v>
      </c>
      <c r="G204" s="194"/>
      <c r="H204" s="194"/>
      <c r="I204" s="194"/>
      <c r="J204" s="194"/>
      <c r="K204" s="194"/>
    </row>
    <row r="205" ht="15.75" customHeight="1">
      <c r="A205" s="233"/>
      <c r="B205" s="74" t="s">
        <v>86</v>
      </c>
      <c r="C205" s="220">
        <v>44306.0</v>
      </c>
      <c r="D205" s="244">
        <v>150.0</v>
      </c>
      <c r="E205" s="187" t="s">
        <v>159</v>
      </c>
      <c r="F205" s="187" t="s">
        <v>159</v>
      </c>
      <c r="G205" s="187"/>
      <c r="H205" s="187"/>
      <c r="I205" s="187"/>
      <c r="J205" s="187"/>
      <c r="K205" s="187"/>
    </row>
    <row r="206" ht="15.75" customHeight="1">
      <c r="A206" s="234"/>
      <c r="B206" s="235" t="s">
        <v>86</v>
      </c>
      <c r="C206" s="225">
        <v>44306.0</v>
      </c>
      <c r="D206" s="246">
        <v>70.0</v>
      </c>
      <c r="E206" s="194" t="s">
        <v>137</v>
      </c>
      <c r="F206" s="194" t="s">
        <v>137</v>
      </c>
      <c r="G206" s="194"/>
      <c r="H206" s="194"/>
      <c r="I206" s="194"/>
      <c r="J206" s="194"/>
      <c r="K206" s="194"/>
    </row>
    <row r="207" ht="15.75" customHeight="1">
      <c r="A207" s="233"/>
      <c r="B207" s="74" t="s">
        <v>93</v>
      </c>
      <c r="C207" s="220">
        <v>44306.0</v>
      </c>
      <c r="D207" s="244">
        <v>52.7</v>
      </c>
      <c r="E207" s="187" t="s">
        <v>230</v>
      </c>
      <c r="F207" s="187" t="s">
        <v>230</v>
      </c>
      <c r="G207" s="187"/>
      <c r="H207" s="187"/>
      <c r="I207" s="187"/>
      <c r="J207" s="187"/>
      <c r="K207" s="187"/>
    </row>
    <row r="208" ht="15.75" customHeight="1">
      <c r="A208" s="234"/>
      <c r="B208" s="235" t="s">
        <v>85</v>
      </c>
      <c r="C208" s="225">
        <v>44309.0</v>
      </c>
      <c r="D208" s="246">
        <v>720.0</v>
      </c>
      <c r="E208" s="194" t="s">
        <v>231</v>
      </c>
      <c r="F208" s="194" t="s">
        <v>231</v>
      </c>
      <c r="G208" s="194"/>
      <c r="H208" s="194"/>
      <c r="I208" s="194"/>
      <c r="J208" s="194"/>
      <c r="K208" s="194"/>
    </row>
    <row r="209" ht="15.75" customHeight="1">
      <c r="A209" s="233"/>
      <c r="B209" s="74" t="s">
        <v>71</v>
      </c>
      <c r="C209" s="220">
        <v>44309.0</v>
      </c>
      <c r="D209" s="244">
        <v>675.0</v>
      </c>
      <c r="E209" s="187" t="s">
        <v>232</v>
      </c>
      <c r="F209" s="187" t="s">
        <v>232</v>
      </c>
      <c r="G209" s="187"/>
      <c r="H209" s="187"/>
      <c r="I209" s="187"/>
      <c r="J209" s="187"/>
      <c r="K209" s="187"/>
    </row>
    <row r="210" ht="15.75" customHeight="1">
      <c r="A210" s="234"/>
      <c r="B210" s="235" t="s">
        <v>71</v>
      </c>
      <c r="C210" s="225">
        <v>44309.0</v>
      </c>
      <c r="D210" s="246">
        <v>450.0</v>
      </c>
      <c r="E210" s="194" t="s">
        <v>233</v>
      </c>
      <c r="F210" s="194" t="s">
        <v>233</v>
      </c>
      <c r="G210" s="194"/>
      <c r="H210" s="194"/>
      <c r="I210" s="194"/>
      <c r="J210" s="194"/>
      <c r="K210" s="194"/>
    </row>
    <row r="211" ht="15.75" customHeight="1">
      <c r="A211" s="233"/>
      <c r="B211" s="74" t="s">
        <v>83</v>
      </c>
      <c r="C211" s="220">
        <v>44309.0</v>
      </c>
      <c r="D211" s="244">
        <v>60.2</v>
      </c>
      <c r="E211" s="187" t="s">
        <v>234</v>
      </c>
      <c r="F211" s="187" t="s">
        <v>234</v>
      </c>
      <c r="G211" s="187"/>
      <c r="H211" s="187"/>
      <c r="I211" s="187"/>
      <c r="J211" s="187"/>
      <c r="K211" s="187"/>
    </row>
    <row r="212" ht="15.75" customHeight="1">
      <c r="A212" s="234"/>
      <c r="B212" s="235" t="s">
        <v>85</v>
      </c>
      <c r="C212" s="251" t="s">
        <v>235</v>
      </c>
      <c r="D212" s="246">
        <v>157.5</v>
      </c>
      <c r="E212" s="194" t="s">
        <v>221</v>
      </c>
      <c r="F212" s="194" t="s">
        <v>221</v>
      </c>
      <c r="G212" s="194"/>
      <c r="H212" s="194"/>
      <c r="I212" s="194"/>
      <c r="J212" s="194"/>
      <c r="K212" s="194"/>
    </row>
    <row r="213" ht="15.75" customHeight="1">
      <c r="A213" s="233"/>
      <c r="B213" s="74" t="s">
        <v>90</v>
      </c>
      <c r="C213" s="237">
        <v>44312.0</v>
      </c>
      <c r="D213" s="244">
        <v>12.0</v>
      </c>
      <c r="E213" s="187" t="s">
        <v>236</v>
      </c>
      <c r="F213" s="187" t="s">
        <v>236</v>
      </c>
      <c r="G213" s="187"/>
      <c r="H213" s="187"/>
      <c r="I213" s="187"/>
      <c r="J213" s="187"/>
      <c r="K213" s="187"/>
    </row>
    <row r="214" ht="15.75" customHeight="1">
      <c r="A214" s="234"/>
      <c r="B214" s="235" t="s">
        <v>89</v>
      </c>
      <c r="C214" s="238">
        <v>44315.0</v>
      </c>
      <c r="D214" s="246">
        <v>50.0</v>
      </c>
      <c r="E214" s="194" t="s">
        <v>115</v>
      </c>
      <c r="F214" s="194" t="s">
        <v>115</v>
      </c>
      <c r="G214" s="194"/>
      <c r="H214" s="194"/>
      <c r="I214" s="194"/>
      <c r="J214" s="194"/>
      <c r="K214" s="194"/>
    </row>
    <row r="215" ht="15.75" customHeight="1">
      <c r="A215" s="233"/>
      <c r="B215" s="74" t="s">
        <v>71</v>
      </c>
      <c r="C215" s="237">
        <v>44315.0</v>
      </c>
      <c r="D215" s="244">
        <v>180.0</v>
      </c>
      <c r="E215" s="187" t="s">
        <v>237</v>
      </c>
      <c r="F215" s="187" t="s">
        <v>237</v>
      </c>
      <c r="G215" s="187"/>
      <c r="H215" s="187"/>
      <c r="I215" s="187"/>
      <c r="J215" s="187"/>
      <c r="K215" s="187"/>
    </row>
    <row r="216" ht="15.75" customHeight="1">
      <c r="A216" s="234"/>
      <c r="B216" s="235" t="s">
        <v>95</v>
      </c>
      <c r="C216" s="238">
        <v>44315.0</v>
      </c>
      <c r="D216" s="246">
        <v>289.6</v>
      </c>
      <c r="E216" s="194" t="s">
        <v>238</v>
      </c>
      <c r="F216" s="194" t="s">
        <v>238</v>
      </c>
      <c r="G216" s="194"/>
      <c r="H216" s="194"/>
      <c r="I216" s="194"/>
      <c r="J216" s="194"/>
      <c r="K216" s="194"/>
    </row>
    <row r="217" ht="15.75" customHeight="1">
      <c r="A217" s="233"/>
      <c r="B217" s="74" t="s">
        <v>85</v>
      </c>
      <c r="C217" s="237">
        <v>44316.0</v>
      </c>
      <c r="D217" s="244">
        <v>372.96</v>
      </c>
      <c r="E217" s="187" t="s">
        <v>216</v>
      </c>
      <c r="F217" s="187" t="s">
        <v>216</v>
      </c>
      <c r="G217" s="187"/>
      <c r="H217" s="187"/>
      <c r="I217" s="187"/>
      <c r="J217" s="187"/>
      <c r="K217" s="187"/>
    </row>
    <row r="218" ht="15.75" customHeight="1">
      <c r="A218" s="234"/>
      <c r="B218" s="235" t="s">
        <v>85</v>
      </c>
      <c r="C218" s="238">
        <v>44316.0</v>
      </c>
      <c r="D218" s="246">
        <v>120.0</v>
      </c>
      <c r="E218" s="194" t="s">
        <v>239</v>
      </c>
      <c r="F218" s="194" t="s">
        <v>239</v>
      </c>
      <c r="G218" s="194"/>
      <c r="H218" s="194"/>
      <c r="I218" s="194"/>
      <c r="J218" s="194"/>
      <c r="K218" s="194"/>
    </row>
    <row r="219" ht="15.75" customHeight="1">
      <c r="A219" s="233"/>
      <c r="B219" s="74" t="s">
        <v>87</v>
      </c>
      <c r="C219" s="237">
        <v>44317.0</v>
      </c>
      <c r="D219" s="244">
        <v>250.0</v>
      </c>
      <c r="E219" s="187" t="s">
        <v>166</v>
      </c>
      <c r="F219" s="187" t="s">
        <v>166</v>
      </c>
      <c r="G219" s="187"/>
      <c r="H219" s="187"/>
      <c r="I219" s="187"/>
      <c r="J219" s="187"/>
      <c r="K219" s="187"/>
    </row>
    <row r="220" ht="15.75" customHeight="1">
      <c r="A220" s="234"/>
      <c r="B220" s="235" t="s">
        <v>100</v>
      </c>
      <c r="C220" s="238">
        <v>44318.0</v>
      </c>
      <c r="D220" s="246">
        <v>60.0</v>
      </c>
      <c r="E220" s="252" t="s">
        <v>240</v>
      </c>
      <c r="F220" s="252" t="s">
        <v>240</v>
      </c>
      <c r="G220" s="194"/>
      <c r="H220" s="194"/>
      <c r="I220" s="194"/>
      <c r="J220" s="194"/>
      <c r="K220" s="194"/>
    </row>
    <row r="221" ht="15.75" customHeight="1">
      <c r="A221" s="233"/>
      <c r="B221" s="74" t="s">
        <v>85</v>
      </c>
      <c r="C221" s="237">
        <v>44318.0</v>
      </c>
      <c r="D221" s="244">
        <v>51.98</v>
      </c>
      <c r="E221" s="187" t="s">
        <v>188</v>
      </c>
      <c r="F221" s="187" t="s">
        <v>188</v>
      </c>
      <c r="G221" s="187"/>
      <c r="H221" s="187"/>
      <c r="I221" s="187"/>
      <c r="J221" s="187"/>
      <c r="K221" s="187"/>
    </row>
    <row r="222" ht="15.75" customHeight="1">
      <c r="A222" s="234"/>
      <c r="B222" s="235" t="s">
        <v>85</v>
      </c>
      <c r="C222" s="238">
        <v>44321.0</v>
      </c>
      <c r="D222" s="246">
        <v>174.0</v>
      </c>
      <c r="E222" s="194" t="s">
        <v>241</v>
      </c>
      <c r="F222" s="194" t="s">
        <v>241</v>
      </c>
      <c r="G222" s="194"/>
      <c r="H222" s="194"/>
      <c r="I222" s="194"/>
      <c r="J222" s="194"/>
      <c r="K222" s="194"/>
    </row>
    <row r="223" ht="15.75" customHeight="1">
      <c r="A223" s="233"/>
      <c r="B223" s="74" t="s">
        <v>88</v>
      </c>
      <c r="C223" s="237">
        <v>44322.0</v>
      </c>
      <c r="D223" s="244">
        <v>13.75</v>
      </c>
      <c r="E223" s="187" t="s">
        <v>188</v>
      </c>
      <c r="F223" s="187" t="s">
        <v>188</v>
      </c>
      <c r="G223" s="187"/>
      <c r="H223" s="187"/>
      <c r="I223" s="187"/>
      <c r="J223" s="187"/>
      <c r="K223" s="187"/>
    </row>
    <row r="224" ht="15.75" customHeight="1">
      <c r="A224" s="234"/>
      <c r="B224" s="235" t="s">
        <v>140</v>
      </c>
      <c r="C224" s="238">
        <v>44323.0</v>
      </c>
      <c r="D224" s="246">
        <v>20.0</v>
      </c>
      <c r="E224" s="194" t="s">
        <v>242</v>
      </c>
      <c r="F224" s="194" t="s">
        <v>242</v>
      </c>
      <c r="G224" s="194"/>
      <c r="H224" s="194"/>
      <c r="I224" s="194"/>
      <c r="J224" s="194"/>
      <c r="K224" s="194"/>
    </row>
    <row r="225" ht="15.75" customHeight="1">
      <c r="A225" s="233"/>
      <c r="B225" s="74" t="s">
        <v>85</v>
      </c>
      <c r="C225" s="237">
        <v>44324.0</v>
      </c>
      <c r="D225" s="244">
        <v>15.0</v>
      </c>
      <c r="E225" s="187" t="s">
        <v>137</v>
      </c>
      <c r="F225" s="187" t="s">
        <v>137</v>
      </c>
      <c r="G225" s="187"/>
      <c r="H225" s="187"/>
      <c r="I225" s="187"/>
      <c r="J225" s="187"/>
      <c r="K225" s="187"/>
    </row>
    <row r="226" ht="15.75" customHeight="1">
      <c r="A226" s="234"/>
      <c r="B226" s="235" t="s">
        <v>85</v>
      </c>
      <c r="C226" s="238">
        <v>44325.0</v>
      </c>
      <c r="D226" s="246">
        <v>440.0</v>
      </c>
      <c r="E226" s="194" t="s">
        <v>243</v>
      </c>
      <c r="F226" s="194" t="s">
        <v>243</v>
      </c>
      <c r="G226" s="194"/>
      <c r="H226" s="194"/>
      <c r="I226" s="194"/>
      <c r="J226" s="194"/>
      <c r="K226" s="194"/>
    </row>
    <row r="227" ht="15.75" customHeight="1">
      <c r="A227" s="233"/>
      <c r="B227" s="74" t="s">
        <v>85</v>
      </c>
      <c r="C227" s="237">
        <v>44325.0</v>
      </c>
      <c r="D227" s="244">
        <v>24.98</v>
      </c>
      <c r="E227" s="187" t="s">
        <v>137</v>
      </c>
      <c r="F227" s="187" t="s">
        <v>137</v>
      </c>
      <c r="G227" s="187"/>
      <c r="H227" s="187"/>
      <c r="I227" s="187"/>
      <c r="J227" s="187"/>
      <c r="K227" s="187"/>
    </row>
    <row r="228" ht="15.75" customHeight="1">
      <c r="A228" s="234"/>
      <c r="B228" s="235" t="s">
        <v>88</v>
      </c>
      <c r="C228" s="238">
        <v>44325.0</v>
      </c>
      <c r="D228" s="246">
        <v>72.98</v>
      </c>
      <c r="E228" s="194" t="s">
        <v>137</v>
      </c>
      <c r="F228" s="194" t="s">
        <v>137</v>
      </c>
      <c r="G228" s="194"/>
      <c r="H228" s="194"/>
      <c r="I228" s="194"/>
      <c r="J228" s="194"/>
      <c r="K228" s="194"/>
    </row>
    <row r="229" ht="15.75" customHeight="1">
      <c r="A229" s="233"/>
      <c r="B229" s="74" t="s">
        <v>140</v>
      </c>
      <c r="C229" s="237">
        <v>44326.0</v>
      </c>
      <c r="D229" s="244">
        <v>20.0</v>
      </c>
      <c r="E229" s="187" t="s">
        <v>244</v>
      </c>
      <c r="F229" s="187" t="s">
        <v>244</v>
      </c>
      <c r="G229" s="187"/>
      <c r="H229" s="187"/>
      <c r="I229" s="187"/>
      <c r="J229" s="187"/>
      <c r="K229" s="187"/>
    </row>
    <row r="230" ht="15.75" customHeight="1">
      <c r="A230" s="234"/>
      <c r="B230" s="235" t="s">
        <v>83</v>
      </c>
      <c r="C230" s="238">
        <v>44326.0</v>
      </c>
      <c r="D230" s="246">
        <v>96.15</v>
      </c>
      <c r="E230" s="253" t="s">
        <v>245</v>
      </c>
      <c r="F230" s="253" t="s">
        <v>245</v>
      </c>
      <c r="G230" s="194"/>
      <c r="H230" s="194"/>
      <c r="I230" s="194"/>
      <c r="J230" s="194"/>
      <c r="K230" s="194"/>
    </row>
    <row r="231" ht="15.75" customHeight="1">
      <c r="A231" s="233"/>
      <c r="B231" s="74" t="s">
        <v>81</v>
      </c>
      <c r="C231" s="237">
        <v>44327.0</v>
      </c>
      <c r="D231" s="244">
        <v>1100.13</v>
      </c>
      <c r="E231" s="187" t="s">
        <v>217</v>
      </c>
      <c r="F231" s="187" t="s">
        <v>217</v>
      </c>
      <c r="G231" s="187"/>
      <c r="H231" s="187"/>
      <c r="I231" s="187"/>
      <c r="J231" s="187"/>
      <c r="K231" s="187"/>
    </row>
    <row r="232" ht="15.75" customHeight="1">
      <c r="A232" s="234"/>
      <c r="B232" s="235" t="s">
        <v>97</v>
      </c>
      <c r="C232" s="238">
        <v>44327.0</v>
      </c>
      <c r="D232" s="246">
        <v>100.0</v>
      </c>
      <c r="E232" s="194" t="s">
        <v>149</v>
      </c>
      <c r="F232" s="194" t="s">
        <v>149</v>
      </c>
      <c r="G232" s="194"/>
      <c r="H232" s="194"/>
      <c r="I232" s="194"/>
      <c r="J232" s="194"/>
      <c r="K232" s="194"/>
    </row>
    <row r="233" ht="15.75" customHeight="1">
      <c r="A233" s="233"/>
      <c r="B233" s="74" t="s">
        <v>97</v>
      </c>
      <c r="C233" s="237">
        <v>44327.0</v>
      </c>
      <c r="D233" s="244">
        <v>100.0</v>
      </c>
      <c r="E233" s="187" t="s">
        <v>159</v>
      </c>
      <c r="F233" s="187" t="s">
        <v>159</v>
      </c>
      <c r="G233" s="187"/>
      <c r="H233" s="187"/>
      <c r="I233" s="187"/>
      <c r="J233" s="187"/>
      <c r="K233" s="187"/>
    </row>
    <row r="234" ht="15.75" customHeight="1">
      <c r="A234" s="234"/>
      <c r="B234" s="235" t="s">
        <v>93</v>
      </c>
      <c r="C234" s="238">
        <v>44327.0</v>
      </c>
      <c r="D234" s="246">
        <v>96.15</v>
      </c>
      <c r="E234" s="246" t="s">
        <v>246</v>
      </c>
      <c r="F234" s="246" t="s">
        <v>246</v>
      </c>
      <c r="G234" s="194"/>
      <c r="H234" s="194"/>
      <c r="I234" s="194"/>
      <c r="J234" s="194"/>
      <c r="K234" s="194"/>
    </row>
    <row r="235" ht="15.75" customHeight="1">
      <c r="A235" s="233"/>
      <c r="B235" s="74" t="s">
        <v>97</v>
      </c>
      <c r="C235" s="237">
        <v>44329.0</v>
      </c>
      <c r="D235" s="244">
        <v>100.0</v>
      </c>
      <c r="E235" s="244" t="s">
        <v>247</v>
      </c>
      <c r="F235" s="244" t="s">
        <v>247</v>
      </c>
      <c r="H235" s="187"/>
      <c r="I235" s="187"/>
      <c r="J235" s="187"/>
      <c r="K235" s="187"/>
    </row>
    <row r="236" ht="15.75" customHeight="1">
      <c r="A236" s="234"/>
      <c r="B236" s="235" t="s">
        <v>87</v>
      </c>
      <c r="C236" s="238">
        <v>44330.0</v>
      </c>
      <c r="D236" s="246">
        <v>30.0</v>
      </c>
      <c r="E236" s="246" t="s">
        <v>248</v>
      </c>
      <c r="F236" s="246" t="s">
        <v>248</v>
      </c>
      <c r="H236" s="194"/>
      <c r="I236" s="194"/>
      <c r="J236" s="194"/>
      <c r="K236" s="194"/>
    </row>
    <row r="237" ht="15.75" customHeight="1">
      <c r="A237" s="233"/>
      <c r="B237" s="74" t="s">
        <v>86</v>
      </c>
      <c r="C237" s="237">
        <v>44333.0</v>
      </c>
      <c r="D237" s="244">
        <v>60.0</v>
      </c>
      <c r="E237" s="244" t="s">
        <v>249</v>
      </c>
      <c r="F237" s="244" t="s">
        <v>249</v>
      </c>
      <c r="H237" s="187"/>
      <c r="I237" s="187"/>
      <c r="J237" s="187"/>
      <c r="K237" s="187"/>
    </row>
    <row r="238" ht="15.75" customHeight="1">
      <c r="A238" s="234"/>
      <c r="B238" s="235" t="s">
        <v>100</v>
      </c>
      <c r="C238" s="238">
        <v>44333.0</v>
      </c>
      <c r="D238" s="246">
        <v>240.0</v>
      </c>
      <c r="E238" s="246" t="s">
        <v>250</v>
      </c>
      <c r="F238" s="246" t="s">
        <v>250</v>
      </c>
      <c r="H238" s="194"/>
      <c r="I238" s="194"/>
      <c r="J238" s="194"/>
      <c r="K238" s="194"/>
    </row>
    <row r="239" ht="16.5" customHeight="1">
      <c r="A239" s="233"/>
      <c r="B239" s="74" t="s">
        <v>157</v>
      </c>
      <c r="C239" s="237">
        <v>44335.0</v>
      </c>
      <c r="D239" s="244">
        <v>1856.04</v>
      </c>
      <c r="E239" s="242" t="s">
        <v>158</v>
      </c>
      <c r="F239" s="244"/>
      <c r="H239" s="187"/>
      <c r="I239" s="187"/>
      <c r="J239" s="187"/>
      <c r="K239" s="187"/>
    </row>
    <row r="240" ht="16.5" customHeight="1">
      <c r="A240" s="234"/>
      <c r="B240" s="235" t="s">
        <v>89</v>
      </c>
      <c r="C240" s="237">
        <v>44336.0</v>
      </c>
      <c r="D240" s="246">
        <v>160.0</v>
      </c>
      <c r="E240" s="241" t="s">
        <v>251</v>
      </c>
      <c r="F240" s="246"/>
      <c r="H240" s="194"/>
      <c r="I240" s="194"/>
      <c r="J240" s="194"/>
      <c r="K240" s="194"/>
    </row>
    <row r="241" ht="16.5" customHeight="1">
      <c r="A241" s="233"/>
      <c r="B241" s="74" t="s">
        <v>83</v>
      </c>
      <c r="C241" s="237">
        <v>44337.0</v>
      </c>
      <c r="D241" s="244">
        <v>269.15</v>
      </c>
      <c r="E241" s="242" t="s">
        <v>252</v>
      </c>
      <c r="F241" s="244"/>
      <c r="H241" s="187"/>
      <c r="I241" s="187"/>
      <c r="J241" s="187"/>
      <c r="K241" s="187"/>
    </row>
    <row r="242" ht="16.5" customHeight="1">
      <c r="A242" s="234"/>
      <c r="B242" s="235" t="s">
        <v>86</v>
      </c>
      <c r="C242" s="237">
        <v>44339.0</v>
      </c>
      <c r="D242" s="246">
        <v>50.0</v>
      </c>
      <c r="E242" s="241" t="s">
        <v>153</v>
      </c>
      <c r="F242" s="246"/>
      <c r="H242" s="194"/>
      <c r="I242" s="194"/>
      <c r="J242" s="194"/>
      <c r="K242" s="194"/>
    </row>
    <row r="243" ht="16.5" customHeight="1">
      <c r="A243" s="233"/>
      <c r="B243" s="74" t="s">
        <v>83</v>
      </c>
      <c r="C243" s="237">
        <v>44340.0</v>
      </c>
      <c r="D243" s="244">
        <v>196.9</v>
      </c>
      <c r="E243" s="242" t="s">
        <v>253</v>
      </c>
      <c r="F243" s="244"/>
      <c r="H243" s="187"/>
      <c r="I243" s="187"/>
      <c r="J243" s="187"/>
      <c r="K243" s="187"/>
    </row>
    <row r="244" ht="16.5" customHeight="1">
      <c r="A244" s="234"/>
      <c r="B244" s="235" t="s">
        <v>81</v>
      </c>
      <c r="C244" s="237">
        <v>44341.0</v>
      </c>
      <c r="D244" s="246">
        <v>76.41</v>
      </c>
      <c r="E244" s="241" t="s">
        <v>254</v>
      </c>
      <c r="F244" s="246"/>
      <c r="H244" s="194"/>
      <c r="I244" s="194"/>
      <c r="J244" s="194"/>
      <c r="K244" s="194"/>
    </row>
    <row r="245" ht="16.5" customHeight="1">
      <c r="A245" s="233"/>
      <c r="B245" s="74" t="s">
        <v>86</v>
      </c>
      <c r="C245" s="237">
        <v>44342.0</v>
      </c>
      <c r="D245" s="244">
        <v>60.0</v>
      </c>
      <c r="E245" s="242" t="s">
        <v>188</v>
      </c>
      <c r="F245" s="244"/>
      <c r="H245" s="187"/>
      <c r="I245" s="187"/>
      <c r="J245" s="187"/>
      <c r="K245" s="187"/>
    </row>
    <row r="246" ht="16.5" customHeight="1">
      <c r="A246" s="234"/>
      <c r="B246" s="235" t="s">
        <v>88</v>
      </c>
      <c r="C246" s="237">
        <v>44342.0</v>
      </c>
      <c r="D246" s="246">
        <v>135.57</v>
      </c>
      <c r="E246" s="241" t="s">
        <v>224</v>
      </c>
      <c r="F246" s="246"/>
      <c r="H246" s="194"/>
      <c r="I246" s="194"/>
      <c r="J246" s="194"/>
      <c r="K246" s="194"/>
    </row>
    <row r="247" ht="16.5" customHeight="1">
      <c r="A247" s="233"/>
      <c r="B247" s="74" t="s">
        <v>85</v>
      </c>
      <c r="C247" s="237">
        <v>44343.0</v>
      </c>
      <c r="D247" s="244">
        <v>120.0</v>
      </c>
      <c r="E247" s="242" t="s">
        <v>255</v>
      </c>
      <c r="F247" s="244"/>
      <c r="H247" s="187"/>
      <c r="I247" s="187"/>
      <c r="J247" s="187"/>
      <c r="K247" s="187"/>
    </row>
    <row r="248" ht="16.5" customHeight="1">
      <c r="A248" s="234"/>
      <c r="B248" s="235" t="s">
        <v>90</v>
      </c>
      <c r="C248" s="237">
        <v>44344.0</v>
      </c>
      <c r="D248" s="246">
        <v>72.0</v>
      </c>
      <c r="E248" s="241" t="s">
        <v>236</v>
      </c>
      <c r="F248" s="246"/>
      <c r="H248" s="194"/>
      <c r="I248" s="194"/>
      <c r="J248" s="194"/>
      <c r="K248" s="194"/>
    </row>
    <row r="249" ht="16.5" customHeight="1">
      <c r="A249" s="233"/>
      <c r="B249" s="74" t="s">
        <v>87</v>
      </c>
      <c r="C249" s="237">
        <v>44346.0</v>
      </c>
      <c r="D249" s="244">
        <v>250.0</v>
      </c>
      <c r="E249" s="242" t="s">
        <v>166</v>
      </c>
      <c r="F249" s="244"/>
      <c r="H249" s="187"/>
      <c r="I249" s="187"/>
      <c r="J249" s="187"/>
      <c r="K249" s="187"/>
    </row>
    <row r="250" ht="16.5" customHeight="1">
      <c r="A250" s="234"/>
      <c r="B250" s="235" t="s">
        <v>86</v>
      </c>
      <c r="C250" s="238">
        <v>44347.0</v>
      </c>
      <c r="D250" s="246">
        <v>50.0</v>
      </c>
      <c r="E250" s="241" t="s">
        <v>256</v>
      </c>
      <c r="F250" s="246"/>
      <c r="H250" s="194"/>
      <c r="I250" s="194"/>
      <c r="J250" s="194"/>
      <c r="K250" s="194"/>
    </row>
    <row r="251" ht="16.5" customHeight="1">
      <c r="A251" s="233"/>
      <c r="B251" s="74"/>
      <c r="C251" s="254" t="s">
        <v>257</v>
      </c>
      <c r="D251" s="221"/>
      <c r="E251" s="242"/>
      <c r="F251" s="187"/>
      <c r="H251" s="187"/>
      <c r="I251" s="187"/>
      <c r="J251" s="187"/>
      <c r="K251" s="187"/>
    </row>
    <row r="252" ht="16.5" customHeight="1">
      <c r="A252" s="234"/>
      <c r="B252" s="235" t="s">
        <v>87</v>
      </c>
      <c r="C252" s="238">
        <v>44344.0</v>
      </c>
      <c r="D252" s="246">
        <v>5.39</v>
      </c>
      <c r="E252" s="241" t="s">
        <v>258</v>
      </c>
      <c r="F252" s="246" t="s">
        <v>259</v>
      </c>
      <c r="H252" s="194"/>
      <c r="I252" s="194"/>
      <c r="J252" s="194"/>
      <c r="K252" s="194"/>
    </row>
    <row r="253" ht="16.5" customHeight="1">
      <c r="A253" s="233"/>
      <c r="B253" s="74" t="s">
        <v>87</v>
      </c>
      <c r="C253" s="237">
        <v>44314.0</v>
      </c>
      <c r="D253" s="244">
        <v>5.39</v>
      </c>
      <c r="E253" s="242" t="s">
        <v>258</v>
      </c>
      <c r="F253" s="244" t="s">
        <v>259</v>
      </c>
      <c r="H253" s="187"/>
      <c r="I253" s="187"/>
      <c r="J253" s="187"/>
      <c r="K253" s="187"/>
    </row>
    <row r="254" ht="16.5" customHeight="1">
      <c r="A254" s="234"/>
      <c r="B254" s="235" t="s">
        <v>87</v>
      </c>
      <c r="C254" s="238">
        <v>44301.0</v>
      </c>
      <c r="D254" s="246">
        <v>18.69</v>
      </c>
      <c r="E254" s="241" t="s">
        <v>260</v>
      </c>
      <c r="F254" s="246" t="s">
        <v>259</v>
      </c>
      <c r="H254" s="194"/>
      <c r="I254" s="194"/>
      <c r="J254" s="194"/>
      <c r="K254" s="194"/>
    </row>
    <row r="255" ht="16.5" customHeight="1">
      <c r="A255" s="233"/>
      <c r="B255" s="74" t="s">
        <v>87</v>
      </c>
      <c r="C255" s="237">
        <v>44284.0</v>
      </c>
      <c r="D255" s="244">
        <v>5.39</v>
      </c>
      <c r="E255" s="242" t="s">
        <v>258</v>
      </c>
      <c r="F255" s="244" t="s">
        <v>259</v>
      </c>
      <c r="H255" s="187"/>
      <c r="I255" s="187"/>
      <c r="J255" s="187"/>
      <c r="K255" s="187"/>
    </row>
    <row r="256" ht="16.5" customHeight="1">
      <c r="A256" s="234"/>
      <c r="B256" s="235" t="s">
        <v>87</v>
      </c>
      <c r="C256" s="238">
        <v>44270.0</v>
      </c>
      <c r="D256" s="246">
        <v>12.15</v>
      </c>
      <c r="E256" s="241" t="s">
        <v>260</v>
      </c>
      <c r="F256" s="246" t="s">
        <v>259</v>
      </c>
      <c r="H256" s="194"/>
      <c r="I256" s="194"/>
      <c r="J256" s="194"/>
      <c r="K256" s="194"/>
    </row>
    <row r="257" ht="16.5" customHeight="1">
      <c r="A257" s="233"/>
      <c r="B257" s="74" t="s">
        <v>87</v>
      </c>
      <c r="C257" s="237">
        <v>44256.0</v>
      </c>
      <c r="D257" s="244">
        <v>5.39</v>
      </c>
      <c r="E257" s="242" t="s">
        <v>258</v>
      </c>
      <c r="F257" s="244" t="s">
        <v>259</v>
      </c>
      <c r="H257" s="187"/>
      <c r="I257" s="187"/>
      <c r="J257" s="187"/>
      <c r="K257" s="187"/>
    </row>
    <row r="258" ht="16.5" customHeight="1">
      <c r="A258" s="234"/>
      <c r="B258" s="235" t="s">
        <v>87</v>
      </c>
      <c r="C258" s="238">
        <v>44242.0</v>
      </c>
      <c r="D258" s="246">
        <v>164.47</v>
      </c>
      <c r="E258" s="241" t="s">
        <v>260</v>
      </c>
      <c r="F258" s="246" t="s">
        <v>259</v>
      </c>
      <c r="H258" s="194"/>
      <c r="I258" s="194"/>
      <c r="J258" s="194"/>
      <c r="K258" s="194"/>
    </row>
    <row r="259" ht="16.5" customHeight="1">
      <c r="A259" s="233"/>
      <c r="B259" s="74" t="s">
        <v>87</v>
      </c>
      <c r="C259" s="237">
        <v>44228.0</v>
      </c>
      <c r="D259" s="244">
        <v>5.39</v>
      </c>
      <c r="E259" s="242" t="s">
        <v>258</v>
      </c>
      <c r="F259" s="244" t="s">
        <v>259</v>
      </c>
      <c r="H259" s="187"/>
      <c r="I259" s="187"/>
      <c r="J259" s="187"/>
      <c r="K259" s="187"/>
    </row>
    <row r="260" ht="16.5" customHeight="1">
      <c r="A260" s="234"/>
      <c r="B260" s="235" t="s">
        <v>87</v>
      </c>
      <c r="C260" s="238">
        <v>44216.0</v>
      </c>
      <c r="D260" s="246">
        <v>166.39</v>
      </c>
      <c r="E260" s="241" t="s">
        <v>260</v>
      </c>
      <c r="F260" s="246" t="s">
        <v>259</v>
      </c>
      <c r="H260" s="194"/>
      <c r="I260" s="194"/>
      <c r="J260" s="194"/>
      <c r="K260" s="194"/>
    </row>
    <row r="261" ht="16.5" customHeight="1">
      <c r="A261" s="233"/>
      <c r="B261" s="74" t="s">
        <v>87</v>
      </c>
      <c r="C261" s="237">
        <v>44181.0</v>
      </c>
      <c r="D261" s="244">
        <v>141.12</v>
      </c>
      <c r="E261" s="242" t="s">
        <v>260</v>
      </c>
      <c r="F261" s="244" t="s">
        <v>259</v>
      </c>
      <c r="H261" s="187"/>
      <c r="I261" s="187"/>
      <c r="J261" s="187"/>
      <c r="K261" s="187"/>
    </row>
    <row r="262" ht="16.5" customHeight="1">
      <c r="A262" s="234"/>
      <c r="B262" s="235" t="s">
        <v>87</v>
      </c>
      <c r="C262" s="238">
        <v>44152.0</v>
      </c>
      <c r="D262" s="246">
        <v>146.32</v>
      </c>
      <c r="E262" s="241" t="s">
        <v>260</v>
      </c>
      <c r="F262" s="246" t="s">
        <v>259</v>
      </c>
      <c r="H262" s="194"/>
      <c r="I262" s="194"/>
      <c r="J262" s="194"/>
      <c r="K262" s="194"/>
    </row>
    <row r="263" ht="16.5" customHeight="1">
      <c r="A263" s="233"/>
      <c r="B263" s="74" t="s">
        <v>87</v>
      </c>
      <c r="C263" s="237">
        <v>44120.0</v>
      </c>
      <c r="D263" s="244">
        <v>151.74</v>
      </c>
      <c r="E263" s="242" t="s">
        <v>260</v>
      </c>
      <c r="F263" s="244" t="s">
        <v>259</v>
      </c>
      <c r="H263" s="187"/>
      <c r="I263" s="187"/>
      <c r="J263" s="187"/>
      <c r="K263" s="187"/>
    </row>
    <row r="264" ht="16.5" customHeight="1">
      <c r="A264" s="234"/>
      <c r="B264" s="235" t="s">
        <v>87</v>
      </c>
      <c r="C264" s="238">
        <v>44090.0</v>
      </c>
      <c r="D264" s="246">
        <v>146.91</v>
      </c>
      <c r="E264" s="241" t="s">
        <v>260</v>
      </c>
      <c r="F264" s="246" t="s">
        <v>259</v>
      </c>
      <c r="H264" s="194"/>
      <c r="I264" s="194"/>
      <c r="J264" s="194"/>
      <c r="K264" s="194"/>
    </row>
    <row r="265" ht="16.5" customHeight="1">
      <c r="A265" s="233"/>
      <c r="B265" s="74"/>
      <c r="C265" s="254" t="s">
        <v>261</v>
      </c>
      <c r="D265" s="221"/>
      <c r="E265" s="242"/>
      <c r="F265" s="187"/>
      <c r="H265" s="187"/>
      <c r="I265" s="187"/>
      <c r="J265" s="187"/>
      <c r="K265" s="187"/>
    </row>
    <row r="266" ht="16.5" customHeight="1">
      <c r="A266" s="234"/>
      <c r="B266" s="235" t="s">
        <v>65</v>
      </c>
      <c r="C266" s="238">
        <v>44342.0</v>
      </c>
      <c r="D266" s="246">
        <v>30.0</v>
      </c>
      <c r="E266" s="241" t="s">
        <v>260</v>
      </c>
      <c r="F266" s="246" t="s">
        <v>262</v>
      </c>
      <c r="H266" s="194"/>
      <c r="I266" s="194"/>
      <c r="J266" s="194"/>
      <c r="K266" s="194"/>
    </row>
    <row r="267" ht="16.5" customHeight="1">
      <c r="A267" s="233"/>
      <c r="B267" s="74" t="s">
        <v>67</v>
      </c>
      <c r="C267" s="237">
        <v>44342.0</v>
      </c>
      <c r="D267" s="244">
        <v>70.0</v>
      </c>
      <c r="E267" s="242" t="s">
        <v>263</v>
      </c>
      <c r="F267" s="244" t="s">
        <v>262</v>
      </c>
      <c r="H267" s="187"/>
      <c r="I267" s="187"/>
      <c r="J267" s="187"/>
      <c r="K267" s="187"/>
    </row>
    <row r="268" ht="16.5" customHeight="1">
      <c r="A268" s="234"/>
      <c r="B268" s="235" t="s">
        <v>67</v>
      </c>
      <c r="C268" s="238">
        <v>44342.0</v>
      </c>
      <c r="D268" s="246">
        <v>32.27</v>
      </c>
      <c r="E268" s="241" t="s">
        <v>263</v>
      </c>
      <c r="F268" s="246" t="s">
        <v>262</v>
      </c>
      <c r="H268" s="194"/>
      <c r="I268" s="194"/>
      <c r="J268" s="194"/>
      <c r="K268" s="194"/>
    </row>
    <row r="269" ht="16.5" customHeight="1">
      <c r="A269" s="233"/>
      <c r="B269" s="74" t="s">
        <v>65</v>
      </c>
      <c r="C269" s="237">
        <v>44341.0</v>
      </c>
      <c r="D269" s="244">
        <v>85.0</v>
      </c>
      <c r="E269" s="242" t="s">
        <v>260</v>
      </c>
      <c r="F269" s="244" t="s">
        <v>262</v>
      </c>
      <c r="H269" s="187"/>
      <c r="I269" s="187"/>
      <c r="J269" s="187"/>
      <c r="K269" s="187"/>
    </row>
    <row r="270" ht="16.5" customHeight="1">
      <c r="A270" s="234"/>
      <c r="B270" s="235" t="s">
        <v>65</v>
      </c>
      <c r="C270" s="238">
        <v>44340.0</v>
      </c>
      <c r="D270" s="246">
        <v>15.0</v>
      </c>
      <c r="E270" s="241" t="s">
        <v>260</v>
      </c>
      <c r="F270" s="246" t="s">
        <v>262</v>
      </c>
      <c r="H270" s="194"/>
      <c r="I270" s="194"/>
      <c r="J270" s="194"/>
      <c r="K270" s="194"/>
    </row>
    <row r="271" ht="16.5" customHeight="1">
      <c r="A271" s="233"/>
      <c r="B271" s="74" t="s">
        <v>65</v>
      </c>
      <c r="C271" s="237">
        <v>44337.0</v>
      </c>
      <c r="D271" s="244">
        <v>20.0</v>
      </c>
      <c r="E271" s="242" t="s">
        <v>264</v>
      </c>
      <c r="F271" s="244" t="s">
        <v>262</v>
      </c>
      <c r="H271" s="187"/>
      <c r="I271" s="187"/>
      <c r="J271" s="187"/>
      <c r="K271" s="187"/>
    </row>
    <row r="272" ht="16.5" customHeight="1">
      <c r="A272" s="234"/>
      <c r="B272" s="235" t="s">
        <v>65</v>
      </c>
      <c r="C272" s="238">
        <v>44335.0</v>
      </c>
      <c r="D272" s="246">
        <v>230.0</v>
      </c>
      <c r="E272" s="241" t="s">
        <v>260</v>
      </c>
      <c r="F272" s="246" t="s">
        <v>262</v>
      </c>
      <c r="H272" s="194"/>
      <c r="I272" s="194"/>
      <c r="J272" s="194"/>
      <c r="K272" s="194"/>
    </row>
    <row r="273" ht="16.5" customHeight="1">
      <c r="A273" s="233"/>
      <c r="B273" s="74" t="s">
        <v>65</v>
      </c>
      <c r="C273" s="255">
        <v>44334.0</v>
      </c>
      <c r="D273" s="256">
        <v>200.0</v>
      </c>
      <c r="E273" s="256" t="s">
        <v>265</v>
      </c>
      <c r="F273" s="244" t="s">
        <v>262</v>
      </c>
      <c r="G273" s="187"/>
      <c r="H273" s="187"/>
      <c r="I273" s="187"/>
      <c r="J273" s="187"/>
      <c r="K273" s="187"/>
    </row>
    <row r="274" ht="16.5" customHeight="1">
      <c r="A274" s="234"/>
      <c r="B274" s="235" t="s">
        <v>65</v>
      </c>
      <c r="C274" s="257">
        <v>44333.0</v>
      </c>
      <c r="D274" s="258">
        <v>20.0</v>
      </c>
      <c r="E274" s="258" t="s">
        <v>265</v>
      </c>
      <c r="F274" s="246" t="s">
        <v>262</v>
      </c>
      <c r="G274" s="194"/>
      <c r="H274" s="194"/>
      <c r="I274" s="194"/>
      <c r="J274" s="194"/>
      <c r="K274" s="194"/>
    </row>
    <row r="275" ht="16.5" customHeight="1">
      <c r="A275" s="233"/>
      <c r="B275" s="74" t="s">
        <v>65</v>
      </c>
      <c r="C275" s="255">
        <v>44330.0</v>
      </c>
      <c r="D275" s="256">
        <v>20.0</v>
      </c>
      <c r="E275" s="256" t="s">
        <v>265</v>
      </c>
      <c r="F275" s="244" t="s">
        <v>262</v>
      </c>
      <c r="G275" s="187"/>
      <c r="H275" s="187"/>
      <c r="I275" s="187"/>
      <c r="J275" s="187"/>
      <c r="K275" s="187"/>
    </row>
    <row r="276" ht="16.5" customHeight="1">
      <c r="A276" s="234"/>
      <c r="B276" s="235" t="s">
        <v>65</v>
      </c>
      <c r="C276" s="257">
        <v>44329.0</v>
      </c>
      <c r="D276" s="258">
        <v>5570.0</v>
      </c>
      <c r="E276" s="258" t="s">
        <v>265</v>
      </c>
      <c r="F276" s="246" t="s">
        <v>262</v>
      </c>
      <c r="G276" s="194"/>
      <c r="H276" s="194"/>
      <c r="I276" s="194"/>
      <c r="J276" s="194"/>
      <c r="K276" s="194"/>
    </row>
    <row r="277" ht="16.5" customHeight="1">
      <c r="A277" s="233"/>
      <c r="B277" s="74" t="s">
        <v>64</v>
      </c>
      <c r="C277" s="255">
        <v>44329.0</v>
      </c>
      <c r="D277" s="256">
        <v>180.0</v>
      </c>
      <c r="E277" s="256" t="s">
        <v>265</v>
      </c>
      <c r="F277" s="244" t="s">
        <v>262</v>
      </c>
    </row>
    <row r="278" ht="16.5" customHeight="1">
      <c r="A278" s="234"/>
      <c r="B278" s="235" t="s">
        <v>65</v>
      </c>
      <c r="C278" s="257">
        <v>44328.0</v>
      </c>
      <c r="D278" s="258">
        <v>60.0</v>
      </c>
      <c r="E278" s="258" t="s">
        <v>265</v>
      </c>
      <c r="F278" s="246" t="s">
        <v>262</v>
      </c>
      <c r="G278" s="259"/>
      <c r="H278" s="260"/>
      <c r="I278" s="260"/>
      <c r="J278" s="260"/>
      <c r="K278" s="260"/>
    </row>
    <row r="279" ht="16.5" customHeight="1">
      <c r="A279" s="233"/>
      <c r="B279" s="74" t="s">
        <v>65</v>
      </c>
      <c r="C279" s="255">
        <v>44327.0</v>
      </c>
      <c r="D279" s="221">
        <v>20.0</v>
      </c>
      <c r="E279" s="256" t="s">
        <v>265</v>
      </c>
      <c r="F279" s="244" t="s">
        <v>262</v>
      </c>
      <c r="G279" s="187"/>
      <c r="H279" s="187"/>
      <c r="I279" s="187"/>
      <c r="J279" s="187"/>
      <c r="K279" s="187"/>
    </row>
    <row r="280" ht="16.5" customHeight="1">
      <c r="A280" s="234"/>
      <c r="B280" s="235" t="s">
        <v>65</v>
      </c>
      <c r="C280" s="257">
        <v>44326.0</v>
      </c>
      <c r="D280" s="226">
        <v>25.0</v>
      </c>
      <c r="E280" s="258" t="s">
        <v>265</v>
      </c>
      <c r="F280" s="246" t="s">
        <v>262</v>
      </c>
      <c r="G280" s="194"/>
      <c r="H280" s="194"/>
      <c r="I280" s="194"/>
      <c r="J280" s="194"/>
      <c r="K280" s="194"/>
    </row>
    <row r="281" ht="16.5" customHeight="1">
      <c r="A281" s="233"/>
      <c r="B281" s="74" t="s">
        <v>65</v>
      </c>
      <c r="C281" s="255">
        <v>44322.0</v>
      </c>
      <c r="D281" s="221">
        <v>27.0</v>
      </c>
      <c r="E281" s="256" t="s">
        <v>265</v>
      </c>
      <c r="F281" s="244" t="s">
        <v>262</v>
      </c>
      <c r="G281" s="187"/>
      <c r="H281" s="187"/>
      <c r="I281" s="187"/>
      <c r="J281" s="187"/>
      <c r="K281" s="187"/>
    </row>
    <row r="282" ht="16.5" customHeight="1">
      <c r="A282" s="234"/>
      <c r="B282" s="235" t="s">
        <v>65</v>
      </c>
      <c r="C282" s="257">
        <v>44321.0</v>
      </c>
      <c r="D282" s="226">
        <v>26.25</v>
      </c>
      <c r="E282" s="258" t="s">
        <v>265</v>
      </c>
      <c r="F282" s="246" t="s">
        <v>262</v>
      </c>
      <c r="G282" s="194"/>
      <c r="H282" s="194"/>
      <c r="I282" s="194"/>
      <c r="J282" s="194"/>
      <c r="K282" s="194"/>
    </row>
    <row r="283" ht="16.5" customHeight="1">
      <c r="A283" s="233"/>
      <c r="B283" s="74" t="s">
        <v>65</v>
      </c>
      <c r="C283" s="255">
        <v>44320.0</v>
      </c>
      <c r="D283" s="221">
        <v>25.0</v>
      </c>
      <c r="E283" s="256" t="s">
        <v>265</v>
      </c>
      <c r="F283" s="244" t="s">
        <v>262</v>
      </c>
      <c r="G283" s="187"/>
      <c r="H283" s="187"/>
      <c r="I283" s="187"/>
      <c r="J283" s="187"/>
      <c r="K283" s="187"/>
    </row>
    <row r="284" ht="16.5" customHeight="1">
      <c r="A284" s="234"/>
      <c r="B284" s="235" t="s">
        <v>266</v>
      </c>
      <c r="C284" s="257">
        <v>44320.0</v>
      </c>
      <c r="D284" s="226">
        <v>0.18</v>
      </c>
      <c r="E284" s="258" t="s">
        <v>265</v>
      </c>
      <c r="F284" s="246" t="s">
        <v>267</v>
      </c>
      <c r="G284" s="194"/>
      <c r="H284" s="194"/>
      <c r="I284" s="194"/>
      <c r="J284" s="194"/>
      <c r="K284" s="194"/>
    </row>
    <row r="285" ht="16.5" customHeight="1">
      <c r="A285" s="233"/>
      <c r="B285" s="74" t="s">
        <v>65</v>
      </c>
      <c r="C285" s="255">
        <v>44316.0</v>
      </c>
      <c r="D285" s="221">
        <v>127.5</v>
      </c>
      <c r="E285" s="256" t="s">
        <v>265</v>
      </c>
      <c r="F285" s="244" t="s">
        <v>262</v>
      </c>
      <c r="G285" s="187"/>
      <c r="H285" s="187"/>
      <c r="I285" s="187"/>
      <c r="J285" s="187"/>
      <c r="K285" s="187"/>
    </row>
    <row r="286" ht="16.5" customHeight="1">
      <c r="A286" s="234"/>
      <c r="B286" s="235" t="s">
        <v>65</v>
      </c>
      <c r="C286" s="257">
        <v>44315.0</v>
      </c>
      <c r="D286" s="226">
        <v>50.0</v>
      </c>
      <c r="E286" s="258" t="s">
        <v>265</v>
      </c>
      <c r="F286" s="246" t="s">
        <v>262</v>
      </c>
      <c r="G286" s="194"/>
      <c r="H286" s="194"/>
      <c r="I286" s="194"/>
      <c r="J286" s="194"/>
      <c r="K286" s="194"/>
    </row>
    <row r="287" ht="16.5" customHeight="1">
      <c r="A287" s="233"/>
      <c r="B287" s="74" t="s">
        <v>65</v>
      </c>
      <c r="C287" s="255">
        <v>44315.0</v>
      </c>
      <c r="D287" s="221">
        <v>60.0</v>
      </c>
      <c r="E287" s="256" t="s">
        <v>265</v>
      </c>
      <c r="F287" s="244" t="s">
        <v>262</v>
      </c>
      <c r="G287" s="187"/>
      <c r="H287" s="187"/>
      <c r="I287" s="187"/>
      <c r="J287" s="187"/>
      <c r="K287" s="187"/>
    </row>
    <row r="288" ht="16.5" customHeight="1">
      <c r="A288" s="234"/>
      <c r="B288" s="235" t="s">
        <v>65</v>
      </c>
      <c r="C288" s="257">
        <v>44314.0</v>
      </c>
      <c r="D288" s="226">
        <v>25.0</v>
      </c>
      <c r="E288" s="258" t="s">
        <v>265</v>
      </c>
      <c r="F288" s="246" t="s">
        <v>262</v>
      </c>
      <c r="G288" s="194"/>
      <c r="H288" s="194"/>
      <c r="I288" s="194"/>
      <c r="J288" s="194"/>
      <c r="K288" s="194"/>
    </row>
    <row r="289" ht="16.5" customHeight="1">
      <c r="A289" s="233"/>
      <c r="B289" s="74" t="s">
        <v>65</v>
      </c>
      <c r="C289" s="255">
        <v>44313.0</v>
      </c>
      <c r="D289" s="221">
        <v>241.25</v>
      </c>
      <c r="E289" s="256" t="s">
        <v>265</v>
      </c>
      <c r="F289" s="244" t="s">
        <v>262</v>
      </c>
      <c r="G289" s="187"/>
      <c r="H289" s="187"/>
      <c r="I289" s="187"/>
      <c r="J289" s="187"/>
      <c r="K289" s="187"/>
    </row>
    <row r="290" ht="16.5" customHeight="1">
      <c r="A290" s="234"/>
      <c r="B290" s="235" t="s">
        <v>65</v>
      </c>
      <c r="C290" s="257">
        <v>44312.0</v>
      </c>
      <c r="D290" s="226">
        <v>50.0</v>
      </c>
      <c r="E290" s="258" t="s">
        <v>265</v>
      </c>
      <c r="F290" s="246" t="s">
        <v>262</v>
      </c>
      <c r="G290" s="194"/>
      <c r="H290" s="194"/>
      <c r="I290" s="194"/>
      <c r="J290" s="194"/>
      <c r="K290" s="194"/>
    </row>
    <row r="291" ht="16.5" customHeight="1">
      <c r="A291" s="233"/>
      <c r="B291" s="74" t="s">
        <v>64</v>
      </c>
      <c r="C291" s="255">
        <v>44312.0</v>
      </c>
      <c r="D291" s="221">
        <v>180.0</v>
      </c>
      <c r="E291" s="256" t="s">
        <v>265</v>
      </c>
      <c r="F291" s="244" t="s">
        <v>262</v>
      </c>
      <c r="G291" s="187"/>
      <c r="H291" s="187"/>
      <c r="I291" s="187"/>
      <c r="J291" s="187"/>
      <c r="K291" s="187"/>
    </row>
    <row r="292" ht="16.5" customHeight="1">
      <c r="A292" s="234"/>
      <c r="B292" s="235" t="s">
        <v>65</v>
      </c>
      <c r="C292" s="257">
        <v>44309.0</v>
      </c>
      <c r="D292" s="226">
        <v>19.0</v>
      </c>
      <c r="E292" s="258" t="s">
        <v>265</v>
      </c>
      <c r="F292" s="246" t="s">
        <v>262</v>
      </c>
      <c r="G292" s="194"/>
      <c r="H292" s="194"/>
      <c r="I292" s="194"/>
      <c r="J292" s="194"/>
      <c r="K292" s="194"/>
    </row>
    <row r="293" ht="16.5" customHeight="1">
      <c r="A293" s="233"/>
      <c r="B293" s="74" t="s">
        <v>65</v>
      </c>
      <c r="C293" s="255">
        <v>44308.0</v>
      </c>
      <c r="D293" s="221">
        <v>80.0</v>
      </c>
      <c r="E293" s="256" t="s">
        <v>265</v>
      </c>
      <c r="F293" s="244" t="s">
        <v>262</v>
      </c>
      <c r="G293" s="187"/>
      <c r="H293" s="187"/>
      <c r="I293" s="187"/>
      <c r="J293" s="187"/>
      <c r="K293" s="187"/>
    </row>
    <row r="294" ht="16.5" customHeight="1">
      <c r="A294" s="234"/>
      <c r="B294" s="235" t="s">
        <v>63</v>
      </c>
      <c r="C294" s="257">
        <v>44307.0</v>
      </c>
      <c r="D294" s="226">
        <v>530.0</v>
      </c>
      <c r="E294" s="258" t="s">
        <v>265</v>
      </c>
      <c r="F294" s="246" t="s">
        <v>262</v>
      </c>
      <c r="G294" s="194"/>
      <c r="H294" s="194"/>
      <c r="I294" s="194"/>
      <c r="J294" s="194"/>
      <c r="K294" s="194"/>
    </row>
    <row r="295" ht="16.5" customHeight="1">
      <c r="A295" s="233"/>
      <c r="B295" s="74" t="s">
        <v>65</v>
      </c>
      <c r="C295" s="255">
        <v>44307.0</v>
      </c>
      <c r="D295" s="221">
        <v>45.0</v>
      </c>
      <c r="E295" s="256" t="s">
        <v>265</v>
      </c>
      <c r="F295" s="244" t="s">
        <v>262</v>
      </c>
      <c r="G295" s="187"/>
      <c r="H295" s="187"/>
      <c r="I295" s="187"/>
      <c r="J295" s="187"/>
      <c r="K295" s="187"/>
    </row>
    <row r="296" ht="16.5" customHeight="1">
      <c r="A296" s="234"/>
      <c r="B296" s="235" t="s">
        <v>65</v>
      </c>
      <c r="C296" s="257">
        <v>44306.0</v>
      </c>
      <c r="D296" s="226">
        <v>55.0</v>
      </c>
      <c r="E296" s="258" t="s">
        <v>265</v>
      </c>
      <c r="F296" s="246" t="s">
        <v>262</v>
      </c>
      <c r="G296" s="194"/>
      <c r="H296" s="194"/>
      <c r="I296" s="194"/>
      <c r="J296" s="194"/>
      <c r="K296" s="194"/>
    </row>
    <row r="297" ht="16.5" customHeight="1">
      <c r="A297" s="233"/>
      <c r="B297" s="74" t="s">
        <v>65</v>
      </c>
      <c r="C297" s="255">
        <v>44305.0</v>
      </c>
      <c r="D297" s="221">
        <v>40.0</v>
      </c>
      <c r="E297" s="256" t="s">
        <v>265</v>
      </c>
      <c r="F297" s="244" t="s">
        <v>262</v>
      </c>
      <c r="G297" s="187"/>
      <c r="H297" s="187"/>
      <c r="I297" s="187"/>
      <c r="J297" s="187"/>
      <c r="K297" s="187"/>
    </row>
    <row r="298" ht="16.5" customHeight="1">
      <c r="A298" s="234"/>
      <c r="B298" s="235" t="s">
        <v>64</v>
      </c>
      <c r="C298" s="257">
        <v>44299.0</v>
      </c>
      <c r="D298" s="226">
        <v>22.5</v>
      </c>
      <c r="E298" s="258" t="s">
        <v>265</v>
      </c>
      <c r="F298" s="246" t="s">
        <v>262</v>
      </c>
      <c r="G298" s="194"/>
      <c r="H298" s="194"/>
      <c r="I298" s="194"/>
      <c r="J298" s="194"/>
      <c r="K298" s="194"/>
    </row>
    <row r="299" ht="16.5" customHeight="1">
      <c r="A299" s="233"/>
      <c r="B299" s="74" t="s">
        <v>64</v>
      </c>
      <c r="C299" s="255">
        <v>44295.0</v>
      </c>
      <c r="D299" s="221">
        <v>45.0</v>
      </c>
      <c r="E299" s="256" t="s">
        <v>265</v>
      </c>
      <c r="F299" s="244" t="s">
        <v>262</v>
      </c>
      <c r="G299" s="187"/>
      <c r="H299" s="187"/>
      <c r="I299" s="187"/>
      <c r="J299" s="187"/>
      <c r="K299" s="187"/>
    </row>
    <row r="300" ht="16.5" customHeight="1">
      <c r="A300" s="234"/>
      <c r="B300" s="235" t="s">
        <v>65</v>
      </c>
      <c r="C300" s="257">
        <v>44295.0</v>
      </c>
      <c r="D300" s="226">
        <v>15.01</v>
      </c>
      <c r="E300" s="258" t="s">
        <v>265</v>
      </c>
      <c r="F300" s="246" t="s">
        <v>262</v>
      </c>
      <c r="G300" s="194"/>
      <c r="H300" s="194"/>
      <c r="I300" s="194"/>
      <c r="J300" s="194"/>
      <c r="K300" s="194"/>
    </row>
    <row r="301" ht="16.5" customHeight="1">
      <c r="A301" s="233"/>
      <c r="B301" s="74" t="s">
        <v>266</v>
      </c>
      <c r="C301" s="255">
        <v>44287.0</v>
      </c>
      <c r="D301" s="221">
        <v>0.18</v>
      </c>
      <c r="E301" s="256" t="s">
        <v>265</v>
      </c>
      <c r="F301" s="244" t="s">
        <v>267</v>
      </c>
      <c r="G301" s="187"/>
      <c r="H301" s="187"/>
      <c r="I301" s="187"/>
      <c r="J301" s="187"/>
      <c r="K301" s="187"/>
    </row>
    <row r="302" ht="16.5" customHeight="1">
      <c r="A302" s="234"/>
      <c r="B302" s="235" t="s">
        <v>266</v>
      </c>
      <c r="C302" s="257">
        <v>44316.0</v>
      </c>
      <c r="D302" s="226">
        <v>0.03</v>
      </c>
      <c r="E302" s="241" t="s">
        <v>268</v>
      </c>
      <c r="F302" s="194"/>
      <c r="G302" s="194"/>
      <c r="H302" s="194"/>
      <c r="I302" s="194"/>
      <c r="J302" s="194"/>
      <c r="K302" s="194"/>
    </row>
    <row r="303" ht="16.5" customHeight="1">
      <c r="A303" s="233"/>
      <c r="B303" s="74" t="s">
        <v>266</v>
      </c>
      <c r="C303" s="255">
        <v>44286.0</v>
      </c>
      <c r="D303" s="221">
        <v>0.03</v>
      </c>
      <c r="E303" s="242" t="s">
        <v>268</v>
      </c>
      <c r="F303" s="187" t="s">
        <v>267</v>
      </c>
      <c r="G303" s="187"/>
      <c r="H303" s="187"/>
      <c r="I303" s="187"/>
      <c r="J303" s="187"/>
      <c r="K303" s="187"/>
    </row>
    <row r="304" ht="16.5" customHeight="1">
      <c r="A304" s="234"/>
      <c r="B304" s="235" t="s">
        <v>63</v>
      </c>
      <c r="C304" s="257">
        <v>44284.0</v>
      </c>
      <c r="D304" s="226">
        <v>3000.0</v>
      </c>
      <c r="E304" s="241" t="s">
        <v>268</v>
      </c>
      <c r="F304" s="194" t="s">
        <v>262</v>
      </c>
      <c r="G304" s="194"/>
      <c r="H304" s="194"/>
      <c r="I304" s="194"/>
      <c r="J304" s="194"/>
      <c r="K304" s="194"/>
    </row>
    <row r="305" ht="16.5" customHeight="1">
      <c r="A305" s="233"/>
      <c r="B305" s="74" t="s">
        <v>60</v>
      </c>
      <c r="C305" s="255">
        <v>44279.0</v>
      </c>
      <c r="D305" s="221">
        <v>1700.0</v>
      </c>
      <c r="E305" s="242" t="s">
        <v>268</v>
      </c>
      <c r="F305" s="187" t="s">
        <v>262</v>
      </c>
      <c r="G305" s="187"/>
      <c r="H305" s="187"/>
      <c r="I305" s="187"/>
      <c r="J305" s="187"/>
      <c r="K305" s="187"/>
    </row>
    <row r="306" ht="16.5" customHeight="1">
      <c r="A306" s="234"/>
      <c r="B306" s="235" t="s">
        <v>64</v>
      </c>
      <c r="C306" s="257">
        <v>44295.0</v>
      </c>
      <c r="D306" s="226">
        <v>45.0</v>
      </c>
      <c r="E306" s="241" t="s">
        <v>265</v>
      </c>
      <c r="F306" s="194" t="s">
        <v>262</v>
      </c>
      <c r="G306" s="194"/>
      <c r="H306" s="194"/>
      <c r="I306" s="194"/>
      <c r="J306" s="194"/>
      <c r="K306" s="194"/>
    </row>
    <row r="307" ht="16.5" customHeight="1">
      <c r="A307" s="233"/>
      <c r="B307" s="74" t="s">
        <v>65</v>
      </c>
      <c r="C307" s="255">
        <v>44295.0</v>
      </c>
      <c r="D307" s="221">
        <v>15.01</v>
      </c>
      <c r="E307" s="242" t="s">
        <v>265</v>
      </c>
      <c r="F307" s="187" t="s">
        <v>262</v>
      </c>
      <c r="G307" s="187"/>
      <c r="H307" s="187"/>
      <c r="I307" s="187"/>
      <c r="J307" s="187"/>
      <c r="K307" s="187"/>
    </row>
    <row r="308" ht="16.5" customHeight="1">
      <c r="A308" s="234"/>
      <c r="B308" s="235" t="s">
        <v>266</v>
      </c>
      <c r="C308" s="257">
        <v>44287.0</v>
      </c>
      <c r="D308" s="226">
        <v>0.18</v>
      </c>
      <c r="E308" s="241" t="s">
        <v>265</v>
      </c>
      <c r="F308" s="194" t="s">
        <v>267</v>
      </c>
      <c r="G308" s="194"/>
      <c r="H308" s="194"/>
      <c r="I308" s="194"/>
      <c r="J308" s="194"/>
      <c r="K308" s="194"/>
    </row>
    <row r="309" ht="16.5" customHeight="1">
      <c r="A309" s="233"/>
      <c r="B309" s="74" t="s">
        <v>65</v>
      </c>
      <c r="C309" s="255">
        <v>44284.0</v>
      </c>
      <c r="D309" s="221">
        <v>60.0</v>
      </c>
      <c r="E309" s="242" t="s">
        <v>265</v>
      </c>
      <c r="F309" s="187" t="s">
        <v>262</v>
      </c>
      <c r="G309" s="187"/>
      <c r="H309" s="187"/>
      <c r="I309" s="187"/>
      <c r="J309" s="187"/>
      <c r="K309" s="187"/>
    </row>
    <row r="310" ht="16.5" customHeight="1">
      <c r="A310" s="234"/>
      <c r="B310" s="235" t="s">
        <v>65</v>
      </c>
      <c r="C310" s="257">
        <v>44279.0</v>
      </c>
      <c r="D310" s="226">
        <v>20.0</v>
      </c>
      <c r="E310" s="241" t="s">
        <v>265</v>
      </c>
      <c r="F310" s="194" t="s">
        <v>262</v>
      </c>
      <c r="G310" s="194"/>
      <c r="H310" s="194"/>
      <c r="I310" s="194"/>
      <c r="J310" s="194"/>
      <c r="K310" s="194"/>
    </row>
    <row r="311" ht="16.5" customHeight="1">
      <c r="A311" s="233"/>
      <c r="B311" s="74" t="s">
        <v>61</v>
      </c>
      <c r="C311" s="255">
        <v>44277.0</v>
      </c>
      <c r="D311" s="221">
        <v>1302.06</v>
      </c>
      <c r="E311" s="242" t="s">
        <v>265</v>
      </c>
      <c r="F311" s="187" t="s">
        <v>262</v>
      </c>
      <c r="G311" s="187"/>
      <c r="H311" s="187"/>
      <c r="I311" s="187"/>
      <c r="J311" s="187"/>
      <c r="K311" s="187"/>
    </row>
    <row r="312" ht="16.5" customHeight="1">
      <c r="A312" s="234"/>
      <c r="B312" s="235" t="s">
        <v>65</v>
      </c>
      <c r="C312" s="257">
        <v>44277.0</v>
      </c>
      <c r="D312" s="226">
        <v>32.0</v>
      </c>
      <c r="E312" s="241" t="s">
        <v>265</v>
      </c>
      <c r="F312" s="194" t="s">
        <v>262</v>
      </c>
      <c r="G312" s="194"/>
      <c r="H312" s="194"/>
      <c r="I312" s="194"/>
      <c r="J312" s="194"/>
      <c r="K312" s="194"/>
    </row>
    <row r="313" ht="16.5" customHeight="1">
      <c r="A313" s="233"/>
      <c r="B313" s="74" t="s">
        <v>65</v>
      </c>
      <c r="C313" s="255">
        <v>44273.0</v>
      </c>
      <c r="D313" s="221">
        <v>80.0</v>
      </c>
      <c r="E313" s="242" t="s">
        <v>265</v>
      </c>
      <c r="F313" s="187" t="s">
        <v>262</v>
      </c>
      <c r="G313" s="187"/>
      <c r="H313" s="187"/>
      <c r="I313" s="187"/>
      <c r="J313" s="187"/>
      <c r="K313" s="187"/>
    </row>
    <row r="314" ht="16.5" customHeight="1">
      <c r="A314" s="234"/>
      <c r="B314" s="235" t="s">
        <v>65</v>
      </c>
      <c r="C314" s="257">
        <v>44272.0</v>
      </c>
      <c r="D314" s="226">
        <v>20.0</v>
      </c>
      <c r="E314" s="241" t="s">
        <v>265</v>
      </c>
      <c r="F314" s="194" t="s">
        <v>262</v>
      </c>
      <c r="G314" s="194"/>
      <c r="H314" s="194"/>
      <c r="I314" s="194"/>
      <c r="J314" s="194"/>
      <c r="K314" s="194"/>
    </row>
    <row r="315" ht="16.5" customHeight="1">
      <c r="A315" s="233"/>
      <c r="B315" s="74" t="s">
        <v>65</v>
      </c>
      <c r="C315" s="255">
        <v>44271.0</v>
      </c>
      <c r="D315" s="221">
        <v>50.0</v>
      </c>
      <c r="E315" s="242" t="s">
        <v>265</v>
      </c>
      <c r="F315" s="187" t="s">
        <v>262</v>
      </c>
      <c r="G315" s="187"/>
      <c r="H315" s="187"/>
      <c r="I315" s="187"/>
      <c r="J315" s="187"/>
      <c r="K315" s="187"/>
    </row>
    <row r="316" ht="16.5" customHeight="1">
      <c r="A316" s="234"/>
      <c r="B316" s="235" t="s">
        <v>66</v>
      </c>
      <c r="C316" s="257">
        <v>44270.0</v>
      </c>
      <c r="D316" s="226">
        <v>679.68</v>
      </c>
      <c r="E316" s="241" t="s">
        <v>265</v>
      </c>
      <c r="F316" s="194" t="s">
        <v>262</v>
      </c>
      <c r="G316" s="194"/>
      <c r="H316" s="194"/>
      <c r="I316" s="194"/>
      <c r="J316" s="194"/>
      <c r="K316" s="194"/>
    </row>
    <row r="317" ht="16.5" customHeight="1">
      <c r="A317" s="233"/>
      <c r="B317" s="74" t="s">
        <v>5</v>
      </c>
      <c r="C317" s="255">
        <v>44260.0</v>
      </c>
      <c r="D317" s="221">
        <v>40.0</v>
      </c>
      <c r="E317" s="242" t="s">
        <v>265</v>
      </c>
      <c r="F317" s="187" t="s">
        <v>262</v>
      </c>
      <c r="G317" s="187"/>
      <c r="H317" s="187"/>
      <c r="I317" s="187"/>
      <c r="J317" s="187"/>
      <c r="K317" s="187"/>
    </row>
    <row r="318" ht="16.5" customHeight="1">
      <c r="A318" s="234"/>
      <c r="B318" s="235" t="s">
        <v>65</v>
      </c>
      <c r="C318" s="257">
        <v>44259.0</v>
      </c>
      <c r="D318" s="226">
        <v>390.0</v>
      </c>
      <c r="E318" s="241" t="s">
        <v>265</v>
      </c>
      <c r="F318" s="194" t="s">
        <v>262</v>
      </c>
      <c r="G318" s="194"/>
      <c r="H318" s="194"/>
      <c r="I318" s="194"/>
      <c r="J318" s="194"/>
      <c r="K318" s="194"/>
    </row>
    <row r="319" ht="16.5" customHeight="1">
      <c r="A319" s="233"/>
      <c r="B319" s="74" t="s">
        <v>65</v>
      </c>
      <c r="C319" s="255">
        <v>44257.0</v>
      </c>
      <c r="D319" s="221">
        <v>40.0</v>
      </c>
      <c r="E319" s="242" t="s">
        <v>265</v>
      </c>
      <c r="F319" s="187" t="s">
        <v>262</v>
      </c>
      <c r="G319" s="187"/>
      <c r="H319" s="187"/>
      <c r="I319" s="187"/>
      <c r="J319" s="187"/>
      <c r="K319" s="187"/>
    </row>
    <row r="320" ht="16.5" customHeight="1">
      <c r="A320" s="234"/>
      <c r="B320" s="235" t="s">
        <v>266</v>
      </c>
      <c r="C320" s="257">
        <v>44256.0</v>
      </c>
      <c r="D320" s="226">
        <v>0.17</v>
      </c>
      <c r="E320" s="241" t="s">
        <v>265</v>
      </c>
      <c r="F320" s="194" t="s">
        <v>267</v>
      </c>
      <c r="G320" s="194"/>
      <c r="H320" s="194"/>
      <c r="I320" s="194"/>
      <c r="J320" s="194"/>
      <c r="K320" s="194"/>
    </row>
    <row r="321" ht="16.5" customHeight="1">
      <c r="A321" s="233"/>
      <c r="B321" s="74" t="s">
        <v>65</v>
      </c>
      <c r="C321" s="255">
        <v>44252.0</v>
      </c>
      <c r="D321" s="221">
        <v>46.01</v>
      </c>
      <c r="E321" s="242" t="s">
        <v>265</v>
      </c>
      <c r="F321" s="187" t="s">
        <v>262</v>
      </c>
      <c r="G321" s="187"/>
      <c r="H321" s="187"/>
      <c r="I321" s="187"/>
      <c r="J321" s="187"/>
      <c r="K321" s="187"/>
    </row>
    <row r="322" ht="16.5" customHeight="1">
      <c r="A322" s="234"/>
      <c r="B322" s="235" t="s">
        <v>65</v>
      </c>
      <c r="C322" s="257">
        <v>44250.0</v>
      </c>
      <c r="D322" s="226">
        <v>55.01</v>
      </c>
      <c r="E322" s="241" t="s">
        <v>265</v>
      </c>
      <c r="F322" s="194" t="s">
        <v>262</v>
      </c>
      <c r="G322" s="194"/>
      <c r="H322" s="194"/>
      <c r="I322" s="194"/>
      <c r="J322" s="194"/>
      <c r="K322" s="194"/>
    </row>
    <row r="323" ht="16.5" customHeight="1">
      <c r="A323" s="233"/>
      <c r="B323" s="74" t="s">
        <v>65</v>
      </c>
      <c r="C323" s="255">
        <v>44244.0</v>
      </c>
      <c r="D323" s="221">
        <v>290.01</v>
      </c>
      <c r="E323" s="242" t="s">
        <v>265</v>
      </c>
      <c r="F323" s="187" t="s">
        <v>262</v>
      </c>
      <c r="G323" s="187"/>
      <c r="H323" s="187"/>
      <c r="I323" s="187"/>
      <c r="J323" s="187"/>
      <c r="K323" s="187"/>
    </row>
    <row r="324" ht="16.5" customHeight="1">
      <c r="A324" s="234"/>
      <c r="B324" s="235" t="s">
        <v>266</v>
      </c>
      <c r="C324" s="257">
        <v>44228.0</v>
      </c>
      <c r="D324" s="226">
        <v>0.16</v>
      </c>
      <c r="E324" s="241" t="s">
        <v>265</v>
      </c>
      <c r="F324" s="194" t="s">
        <v>267</v>
      </c>
      <c r="G324" s="194"/>
      <c r="H324" s="194"/>
      <c r="I324" s="194"/>
      <c r="J324" s="194"/>
      <c r="K324" s="194"/>
    </row>
    <row r="325" ht="16.5" customHeight="1">
      <c r="A325" s="233"/>
      <c r="B325" s="74" t="s">
        <v>65</v>
      </c>
      <c r="C325" s="255">
        <v>44216.0</v>
      </c>
      <c r="D325" s="221">
        <v>60.0</v>
      </c>
      <c r="E325" s="242" t="s">
        <v>265</v>
      </c>
      <c r="F325" s="187" t="s">
        <v>262</v>
      </c>
      <c r="G325" s="187"/>
      <c r="H325" s="187"/>
      <c r="I325" s="187"/>
      <c r="J325" s="187"/>
      <c r="K325" s="187"/>
    </row>
    <row r="326" ht="16.5" customHeight="1">
      <c r="A326" s="234"/>
      <c r="B326" s="235" t="s">
        <v>65</v>
      </c>
      <c r="C326" s="257">
        <v>44215.0</v>
      </c>
      <c r="D326" s="226">
        <v>215.05</v>
      </c>
      <c r="E326" s="241" t="s">
        <v>265</v>
      </c>
      <c r="F326" s="194" t="s">
        <v>262</v>
      </c>
      <c r="G326" s="194"/>
      <c r="H326" s="194"/>
      <c r="I326" s="194"/>
      <c r="J326" s="194"/>
      <c r="K326" s="194"/>
    </row>
    <row r="327" ht="16.5" customHeight="1">
      <c r="A327" s="233"/>
      <c r="B327" s="74" t="s">
        <v>65</v>
      </c>
      <c r="C327" s="255">
        <v>44214.0</v>
      </c>
      <c r="D327" s="221">
        <v>51.04</v>
      </c>
      <c r="E327" s="242" t="s">
        <v>265</v>
      </c>
      <c r="F327" s="187" t="s">
        <v>262</v>
      </c>
      <c r="G327" s="187"/>
      <c r="H327" s="187"/>
      <c r="I327" s="187"/>
      <c r="J327" s="187"/>
      <c r="K327" s="187"/>
    </row>
    <row r="328" ht="16.5" customHeight="1">
      <c r="A328" s="234"/>
      <c r="B328" s="235" t="s">
        <v>65</v>
      </c>
      <c r="C328" s="257">
        <v>44209.0</v>
      </c>
      <c r="D328" s="226">
        <v>4938.0</v>
      </c>
      <c r="E328" s="241" t="s">
        <v>265</v>
      </c>
      <c r="F328" s="194" t="s">
        <v>262</v>
      </c>
      <c r="G328" s="194"/>
      <c r="H328" s="194"/>
      <c r="I328" s="194"/>
      <c r="J328" s="194"/>
      <c r="K328" s="194"/>
    </row>
    <row r="329" ht="16.5" customHeight="1">
      <c r="A329" s="233"/>
      <c r="B329" s="74" t="s">
        <v>65</v>
      </c>
      <c r="C329" s="255">
        <v>44203.0</v>
      </c>
      <c r="D329" s="221">
        <v>8.0</v>
      </c>
      <c r="E329" s="242" t="s">
        <v>265</v>
      </c>
      <c r="F329" s="187" t="s">
        <v>262</v>
      </c>
      <c r="G329" s="187"/>
      <c r="H329" s="187"/>
      <c r="I329" s="187"/>
      <c r="J329" s="187"/>
      <c r="K329" s="187"/>
    </row>
    <row r="330" ht="16.5" customHeight="1">
      <c r="A330" s="234"/>
      <c r="B330" s="235" t="s">
        <v>65</v>
      </c>
      <c r="C330" s="257">
        <v>44201.0</v>
      </c>
      <c r="D330" s="226">
        <v>30.0</v>
      </c>
      <c r="E330" s="241" t="s">
        <v>265</v>
      </c>
      <c r="F330" s="194" t="s">
        <v>262</v>
      </c>
      <c r="G330" s="194"/>
      <c r="H330" s="194"/>
      <c r="I330" s="194"/>
      <c r="J330" s="194"/>
      <c r="K330" s="194"/>
    </row>
    <row r="331" ht="16.5" customHeight="1">
      <c r="A331" s="233"/>
      <c r="B331" s="74" t="s">
        <v>65</v>
      </c>
      <c r="C331" s="255">
        <v>44200.0</v>
      </c>
      <c r="D331" s="221">
        <v>214.0</v>
      </c>
      <c r="E331" s="242" t="s">
        <v>265</v>
      </c>
      <c r="F331" s="187" t="s">
        <v>262</v>
      </c>
      <c r="G331" s="187"/>
      <c r="H331" s="187"/>
      <c r="I331" s="187"/>
      <c r="J331" s="187"/>
      <c r="K331" s="187"/>
    </row>
    <row r="332" ht="16.5" customHeight="1">
      <c r="A332" s="234"/>
      <c r="B332" s="235" t="s">
        <v>266</v>
      </c>
      <c r="C332" s="257">
        <v>44200.0</v>
      </c>
      <c r="D332" s="226">
        <v>0.18</v>
      </c>
      <c r="E332" s="241" t="s">
        <v>265</v>
      </c>
      <c r="F332" s="194" t="s">
        <v>267</v>
      </c>
      <c r="G332" s="194"/>
      <c r="H332" s="194"/>
      <c r="I332" s="194"/>
      <c r="J332" s="194"/>
      <c r="K332" s="194"/>
    </row>
    <row r="333" ht="16.5" customHeight="1">
      <c r="A333" s="233"/>
      <c r="B333" s="74" t="s">
        <v>65</v>
      </c>
      <c r="C333" s="261">
        <v>44196.0</v>
      </c>
      <c r="D333" s="221">
        <v>20.0</v>
      </c>
      <c r="E333" s="242" t="s">
        <v>265</v>
      </c>
      <c r="F333" s="187" t="s">
        <v>262</v>
      </c>
      <c r="G333" s="187"/>
      <c r="H333" s="187"/>
      <c r="I333" s="187"/>
      <c r="J333" s="187"/>
      <c r="K333" s="187"/>
    </row>
    <row r="334" ht="16.5" customHeight="1">
      <c r="A334" s="234"/>
      <c r="B334" s="235" t="s">
        <v>65</v>
      </c>
      <c r="C334" s="262">
        <v>44195.0</v>
      </c>
      <c r="D334" s="226">
        <v>30.01</v>
      </c>
      <c r="E334" s="241" t="s">
        <v>265</v>
      </c>
      <c r="F334" s="194" t="s">
        <v>262</v>
      </c>
      <c r="G334" s="194"/>
      <c r="H334" s="194"/>
      <c r="I334" s="194"/>
      <c r="J334" s="194"/>
      <c r="K334" s="194"/>
    </row>
    <row r="335" ht="16.5" customHeight="1">
      <c r="A335" s="233"/>
      <c r="B335" s="74" t="s">
        <v>65</v>
      </c>
      <c r="C335" s="261">
        <v>44188.0</v>
      </c>
      <c r="D335" s="221">
        <v>125.0</v>
      </c>
      <c r="E335" s="242" t="s">
        <v>265</v>
      </c>
      <c r="F335" s="187" t="s">
        <v>262</v>
      </c>
      <c r="G335" s="187"/>
      <c r="H335" s="187"/>
      <c r="I335" s="187"/>
      <c r="J335" s="187"/>
      <c r="K335" s="187"/>
    </row>
    <row r="336" ht="16.5" customHeight="1">
      <c r="A336" s="234"/>
      <c r="B336" s="235" t="s">
        <v>64</v>
      </c>
      <c r="C336" s="262">
        <v>44187.0</v>
      </c>
      <c r="D336" s="226">
        <v>45.0</v>
      </c>
      <c r="E336" s="241" t="s">
        <v>265</v>
      </c>
      <c r="F336" s="194" t="s">
        <v>262</v>
      </c>
      <c r="G336" s="194"/>
      <c r="H336" s="194"/>
      <c r="I336" s="194"/>
      <c r="J336" s="194"/>
      <c r="K336" s="194"/>
    </row>
    <row r="337" ht="16.5" customHeight="1">
      <c r="A337" s="233"/>
      <c r="B337" s="74" t="s">
        <v>65</v>
      </c>
      <c r="C337" s="261">
        <v>44187.0</v>
      </c>
      <c r="D337" s="221">
        <v>81.05</v>
      </c>
      <c r="E337" s="242" t="s">
        <v>265</v>
      </c>
      <c r="F337" s="187" t="s">
        <v>262</v>
      </c>
      <c r="G337" s="187"/>
      <c r="H337" s="187"/>
      <c r="I337" s="187"/>
      <c r="J337" s="187"/>
      <c r="K337" s="187"/>
    </row>
    <row r="338" ht="16.5" customHeight="1">
      <c r="A338" s="234"/>
      <c r="B338" s="235" t="s">
        <v>65</v>
      </c>
      <c r="C338" s="262">
        <v>44186.0</v>
      </c>
      <c r="D338" s="226">
        <v>20.02</v>
      </c>
      <c r="E338" s="241" t="s">
        <v>265</v>
      </c>
      <c r="F338" s="194" t="s">
        <v>262</v>
      </c>
      <c r="G338" s="194"/>
      <c r="H338" s="194"/>
      <c r="I338" s="194"/>
      <c r="J338" s="194"/>
      <c r="K338" s="194"/>
    </row>
    <row r="339" ht="16.5" customHeight="1">
      <c r="A339" s="233"/>
      <c r="B339" s="74" t="s">
        <v>65</v>
      </c>
      <c r="C339" s="261">
        <v>44182.0</v>
      </c>
      <c r="D339" s="221">
        <v>60.0</v>
      </c>
      <c r="E339" s="242" t="s">
        <v>265</v>
      </c>
      <c r="F339" s="187" t="s">
        <v>262</v>
      </c>
      <c r="G339" s="187"/>
      <c r="H339" s="187"/>
      <c r="I339" s="187"/>
      <c r="J339" s="187"/>
      <c r="K339" s="187"/>
    </row>
    <row r="340" ht="16.5" customHeight="1">
      <c r="A340" s="234"/>
      <c r="B340" s="235" t="s">
        <v>65</v>
      </c>
      <c r="C340" s="262">
        <v>44181.0</v>
      </c>
      <c r="D340" s="226">
        <v>20.0</v>
      </c>
      <c r="E340" s="241" t="s">
        <v>265</v>
      </c>
      <c r="F340" s="194" t="s">
        <v>262</v>
      </c>
      <c r="G340" s="194"/>
      <c r="H340" s="194"/>
      <c r="I340" s="194"/>
      <c r="J340" s="194"/>
      <c r="K340" s="194"/>
    </row>
    <row r="341" ht="16.5" customHeight="1">
      <c r="A341" s="233"/>
      <c r="B341" s="74" t="s">
        <v>65</v>
      </c>
      <c r="C341" s="261">
        <v>44181.0</v>
      </c>
      <c r="D341" s="221">
        <v>28.01</v>
      </c>
      <c r="E341" s="242" t="s">
        <v>265</v>
      </c>
      <c r="F341" s="187" t="s">
        <v>262</v>
      </c>
      <c r="G341" s="187"/>
      <c r="H341" s="187"/>
      <c r="I341" s="187"/>
      <c r="J341" s="187"/>
      <c r="K341" s="187"/>
    </row>
    <row r="342" ht="16.5" customHeight="1">
      <c r="A342" s="234"/>
      <c r="B342" s="235" t="s">
        <v>65</v>
      </c>
      <c r="C342" s="262">
        <v>44180.0</v>
      </c>
      <c r="D342" s="226">
        <v>74.05</v>
      </c>
      <c r="E342" s="241" t="s">
        <v>265</v>
      </c>
      <c r="F342" s="194" t="s">
        <v>262</v>
      </c>
      <c r="G342" s="194"/>
      <c r="H342" s="194"/>
      <c r="I342" s="194"/>
      <c r="J342" s="194"/>
      <c r="K342" s="194"/>
    </row>
    <row r="343" ht="16.5" customHeight="1">
      <c r="A343" s="233"/>
      <c r="B343" s="74" t="s">
        <v>64</v>
      </c>
      <c r="C343" s="261">
        <v>44179.0</v>
      </c>
      <c r="D343" s="221">
        <v>45.0</v>
      </c>
      <c r="E343" s="242" t="s">
        <v>265</v>
      </c>
      <c r="F343" s="187" t="s">
        <v>262</v>
      </c>
      <c r="G343" s="187"/>
      <c r="H343" s="187"/>
      <c r="I343" s="187"/>
      <c r="J343" s="187"/>
      <c r="K343" s="187"/>
    </row>
    <row r="344" ht="16.5" customHeight="1">
      <c r="A344" s="234"/>
      <c r="B344" s="235" t="s">
        <v>65</v>
      </c>
      <c r="C344" s="262">
        <v>44179.0</v>
      </c>
      <c r="D344" s="226">
        <v>30.0</v>
      </c>
      <c r="E344" s="241" t="s">
        <v>265</v>
      </c>
      <c r="F344" s="194" t="s">
        <v>262</v>
      </c>
      <c r="G344" s="194"/>
      <c r="H344" s="194"/>
      <c r="I344" s="194"/>
      <c r="J344" s="194"/>
      <c r="K344" s="194"/>
    </row>
    <row r="345" ht="16.5" customHeight="1">
      <c r="A345" s="233"/>
      <c r="B345" s="74" t="s">
        <v>65</v>
      </c>
      <c r="C345" s="261">
        <v>44179.0</v>
      </c>
      <c r="D345" s="221">
        <v>30.01</v>
      </c>
      <c r="E345" s="242" t="s">
        <v>265</v>
      </c>
      <c r="F345" s="187" t="s">
        <v>262</v>
      </c>
      <c r="G345" s="187"/>
      <c r="H345" s="187"/>
      <c r="I345" s="187"/>
      <c r="J345" s="187"/>
      <c r="K345" s="187"/>
    </row>
    <row r="346" ht="16.5" customHeight="1">
      <c r="A346" s="234"/>
      <c r="B346" s="235" t="s">
        <v>65</v>
      </c>
      <c r="C346" s="262">
        <v>44176.0</v>
      </c>
      <c r="D346" s="226">
        <v>4500.03</v>
      </c>
      <c r="E346" s="241" t="s">
        <v>265</v>
      </c>
      <c r="F346" s="194" t="s">
        <v>262</v>
      </c>
      <c r="G346" s="194"/>
      <c r="H346" s="194"/>
      <c r="I346" s="194"/>
      <c r="J346" s="194"/>
      <c r="K346" s="194"/>
    </row>
    <row r="347" ht="16.5" customHeight="1">
      <c r="A347" s="233"/>
      <c r="B347" s="74" t="s">
        <v>65</v>
      </c>
      <c r="C347" s="261">
        <v>44175.0</v>
      </c>
      <c r="D347" s="221">
        <v>40.0</v>
      </c>
      <c r="E347" s="242" t="s">
        <v>265</v>
      </c>
      <c r="F347" s="187" t="s">
        <v>262</v>
      </c>
      <c r="G347" s="187"/>
      <c r="H347" s="187"/>
      <c r="I347" s="187"/>
      <c r="J347" s="187"/>
      <c r="K347" s="187"/>
    </row>
    <row r="348" ht="16.5" customHeight="1">
      <c r="A348" s="234"/>
      <c r="B348" s="235" t="s">
        <v>65</v>
      </c>
      <c r="C348" s="262">
        <v>44175.0</v>
      </c>
      <c r="D348" s="226">
        <v>25.0</v>
      </c>
      <c r="E348" s="241" t="s">
        <v>265</v>
      </c>
      <c r="F348" s="194" t="s">
        <v>262</v>
      </c>
      <c r="G348" s="194"/>
      <c r="H348" s="194"/>
      <c r="I348" s="194"/>
      <c r="J348" s="194"/>
      <c r="K348" s="194"/>
    </row>
    <row r="349" ht="16.5" customHeight="1">
      <c r="A349" s="233"/>
      <c r="B349" s="74" t="s">
        <v>65</v>
      </c>
      <c r="C349" s="255">
        <v>44174.0</v>
      </c>
      <c r="D349" s="221">
        <v>41.0</v>
      </c>
      <c r="E349" s="242" t="s">
        <v>265</v>
      </c>
      <c r="F349" s="187" t="s">
        <v>262</v>
      </c>
      <c r="G349" s="187"/>
      <c r="H349" s="187"/>
      <c r="I349" s="187"/>
      <c r="J349" s="187"/>
      <c r="K349" s="187"/>
    </row>
    <row r="350" ht="16.5" customHeight="1">
      <c r="A350" s="234"/>
      <c r="B350" s="235" t="s">
        <v>65</v>
      </c>
      <c r="C350" s="257">
        <v>44173.0</v>
      </c>
      <c r="D350" s="226">
        <v>387.11</v>
      </c>
      <c r="E350" s="241" t="s">
        <v>265</v>
      </c>
      <c r="F350" s="194" t="s">
        <v>262</v>
      </c>
      <c r="G350" s="194"/>
      <c r="H350" s="194"/>
      <c r="I350" s="194"/>
      <c r="J350" s="194"/>
      <c r="K350" s="194"/>
    </row>
    <row r="351" ht="16.5" customHeight="1">
      <c r="A351" s="233"/>
      <c r="B351" s="74" t="s">
        <v>64</v>
      </c>
      <c r="C351" s="255">
        <v>44172.0</v>
      </c>
      <c r="D351" s="221">
        <v>45.0</v>
      </c>
      <c r="E351" s="242" t="s">
        <v>265</v>
      </c>
      <c r="F351" s="187" t="s">
        <v>262</v>
      </c>
      <c r="G351" s="187"/>
      <c r="H351" s="187"/>
      <c r="I351" s="187"/>
      <c r="J351" s="187"/>
      <c r="K351" s="187"/>
    </row>
    <row r="352" ht="16.5" customHeight="1">
      <c r="A352" s="234"/>
      <c r="B352" s="235" t="s">
        <v>64</v>
      </c>
      <c r="C352" s="257">
        <v>44172.0</v>
      </c>
      <c r="D352" s="226">
        <v>85.0</v>
      </c>
      <c r="E352" s="241" t="s">
        <v>265</v>
      </c>
      <c r="F352" s="194" t="s">
        <v>262</v>
      </c>
      <c r="G352" s="194"/>
      <c r="H352" s="194"/>
      <c r="I352" s="194"/>
      <c r="J352" s="194"/>
      <c r="K352" s="194"/>
    </row>
    <row r="353" ht="16.5" customHeight="1">
      <c r="A353" s="233"/>
      <c r="B353" s="74" t="s">
        <v>65</v>
      </c>
      <c r="C353" s="255">
        <v>44172.0</v>
      </c>
      <c r="D353" s="221">
        <v>115.0</v>
      </c>
      <c r="E353" s="242" t="s">
        <v>265</v>
      </c>
      <c r="F353" s="187" t="s">
        <v>262</v>
      </c>
      <c r="G353" s="187"/>
      <c r="H353" s="187"/>
      <c r="I353" s="187"/>
      <c r="J353" s="187"/>
      <c r="K353" s="187"/>
    </row>
    <row r="354" ht="16.5" customHeight="1">
      <c r="A354" s="234"/>
      <c r="B354" s="235" t="s">
        <v>65</v>
      </c>
      <c r="C354" s="257">
        <v>44167.0</v>
      </c>
      <c r="D354" s="226">
        <v>20.0</v>
      </c>
      <c r="E354" s="241" t="s">
        <v>265</v>
      </c>
      <c r="F354" s="194" t="s">
        <v>262</v>
      </c>
      <c r="G354" s="194"/>
      <c r="H354" s="194"/>
      <c r="I354" s="194"/>
      <c r="J354" s="194"/>
      <c r="K354" s="194"/>
    </row>
    <row r="355" ht="16.5" customHeight="1">
      <c r="A355" s="233"/>
      <c r="B355" s="74" t="s">
        <v>266</v>
      </c>
      <c r="C355" s="255">
        <v>44166.0</v>
      </c>
      <c r="D355" s="221">
        <v>0.16</v>
      </c>
      <c r="E355" s="242" t="s">
        <v>265</v>
      </c>
      <c r="F355" s="187" t="s">
        <v>267</v>
      </c>
      <c r="G355" s="187"/>
      <c r="H355" s="187"/>
      <c r="I355" s="187"/>
      <c r="J355" s="187"/>
      <c r="K355" s="187"/>
    </row>
    <row r="356" ht="16.5" customHeight="1">
      <c r="A356" s="234"/>
      <c r="B356" s="235" t="s">
        <v>65</v>
      </c>
      <c r="C356" s="262">
        <v>44153.0</v>
      </c>
      <c r="D356" s="226">
        <v>120.0</v>
      </c>
      <c r="E356" s="241" t="s">
        <v>265</v>
      </c>
      <c r="F356" s="194" t="s">
        <v>262</v>
      </c>
      <c r="G356" s="194"/>
      <c r="H356" s="194"/>
      <c r="I356" s="194"/>
      <c r="J356" s="194"/>
      <c r="K356" s="194"/>
    </row>
    <row r="357" ht="16.5" customHeight="1">
      <c r="A357" s="233"/>
      <c r="B357" s="74" t="s">
        <v>65</v>
      </c>
      <c r="C357" s="261">
        <v>44151.0</v>
      </c>
      <c r="D357" s="221">
        <v>60.0</v>
      </c>
      <c r="E357" s="242" t="s">
        <v>265</v>
      </c>
      <c r="F357" s="187" t="s">
        <v>262</v>
      </c>
      <c r="G357" s="187"/>
      <c r="H357" s="187"/>
      <c r="I357" s="187"/>
      <c r="J357" s="187"/>
      <c r="K357" s="187"/>
    </row>
    <row r="358" ht="16.5" customHeight="1">
      <c r="A358" s="234"/>
      <c r="B358" s="235" t="s">
        <v>65</v>
      </c>
      <c r="C358" s="262">
        <v>44146.0</v>
      </c>
      <c r="D358" s="226">
        <v>4540.0</v>
      </c>
      <c r="E358" s="241" t="s">
        <v>265</v>
      </c>
      <c r="F358" s="194" t="s">
        <v>262</v>
      </c>
      <c r="G358" s="194"/>
      <c r="H358" s="194"/>
      <c r="I358" s="194"/>
      <c r="J358" s="194"/>
      <c r="K358" s="194"/>
    </row>
    <row r="359" ht="16.5" customHeight="1">
      <c r="A359" s="233"/>
      <c r="B359" s="74" t="s">
        <v>65</v>
      </c>
      <c r="C359" s="255">
        <v>44144.0</v>
      </c>
      <c r="D359" s="221">
        <v>84.0</v>
      </c>
      <c r="E359" s="242" t="s">
        <v>265</v>
      </c>
      <c r="F359" s="187" t="s">
        <v>262</v>
      </c>
      <c r="G359" s="187"/>
      <c r="H359" s="187"/>
      <c r="I359" s="187"/>
      <c r="J359" s="187"/>
      <c r="K359" s="187"/>
    </row>
    <row r="360" ht="16.5" customHeight="1">
      <c r="A360" s="234"/>
      <c r="B360" s="235" t="s">
        <v>65</v>
      </c>
      <c r="C360" s="257">
        <v>44141.0</v>
      </c>
      <c r="D360" s="226">
        <v>30.0</v>
      </c>
      <c r="E360" s="241" t="s">
        <v>265</v>
      </c>
      <c r="F360" s="194" t="s">
        <v>262</v>
      </c>
      <c r="G360" s="194"/>
      <c r="H360" s="194"/>
      <c r="I360" s="194"/>
      <c r="J360" s="194"/>
      <c r="K360" s="194"/>
    </row>
    <row r="361" ht="16.5" customHeight="1">
      <c r="A361" s="233"/>
      <c r="B361" s="74" t="s">
        <v>65</v>
      </c>
      <c r="C361" s="255">
        <v>44140.0</v>
      </c>
      <c r="D361" s="221">
        <v>20.0</v>
      </c>
      <c r="E361" s="242" t="s">
        <v>265</v>
      </c>
      <c r="F361" s="187" t="s">
        <v>262</v>
      </c>
      <c r="G361" s="187"/>
      <c r="H361" s="187"/>
      <c r="I361" s="187"/>
      <c r="J361" s="187"/>
      <c r="K361" s="187"/>
    </row>
    <row r="362" ht="16.5" customHeight="1">
      <c r="A362" s="234"/>
      <c r="B362" s="235" t="s">
        <v>65</v>
      </c>
      <c r="C362" s="257">
        <v>44139.0</v>
      </c>
      <c r="D362" s="226">
        <v>20.0</v>
      </c>
      <c r="E362" s="241" t="s">
        <v>265</v>
      </c>
      <c r="F362" s="194" t="s">
        <v>262</v>
      </c>
      <c r="G362" s="194"/>
      <c r="H362" s="194"/>
      <c r="I362" s="194"/>
      <c r="J362" s="194"/>
      <c r="K362" s="194"/>
    </row>
    <row r="363" ht="16.5" customHeight="1">
      <c r="A363" s="233"/>
      <c r="B363" s="74" t="s">
        <v>64</v>
      </c>
      <c r="C363" s="255">
        <v>44137.0</v>
      </c>
      <c r="D363" s="221">
        <v>70.0</v>
      </c>
      <c r="E363" s="242" t="s">
        <v>265</v>
      </c>
      <c r="F363" s="187" t="s">
        <v>262</v>
      </c>
      <c r="G363" s="187"/>
      <c r="H363" s="187"/>
      <c r="I363" s="187"/>
      <c r="J363" s="187"/>
      <c r="K363" s="187"/>
    </row>
    <row r="364" ht="16.5" customHeight="1">
      <c r="A364" s="234"/>
      <c r="B364" s="235" t="s">
        <v>266</v>
      </c>
      <c r="C364" s="257">
        <v>44137.0</v>
      </c>
      <c r="D364" s="226">
        <v>0.15</v>
      </c>
      <c r="E364" s="241" t="s">
        <v>265</v>
      </c>
      <c r="F364" s="194" t="s">
        <v>267</v>
      </c>
      <c r="G364" s="194"/>
      <c r="H364" s="194"/>
      <c r="I364" s="194"/>
      <c r="J364" s="194"/>
      <c r="K364" s="194"/>
    </row>
    <row r="365" ht="16.5" customHeight="1">
      <c r="A365" s="233"/>
      <c r="B365" s="74" t="s">
        <v>65</v>
      </c>
      <c r="C365" s="261">
        <v>44134.0</v>
      </c>
      <c r="D365" s="221">
        <v>20.0</v>
      </c>
      <c r="E365" s="242" t="s">
        <v>265</v>
      </c>
      <c r="F365" s="187" t="s">
        <v>262</v>
      </c>
      <c r="G365" s="187"/>
      <c r="H365" s="187"/>
      <c r="I365" s="187"/>
      <c r="J365" s="187"/>
      <c r="K365" s="187"/>
    </row>
    <row r="366" ht="16.5" customHeight="1">
      <c r="A366" s="234"/>
      <c r="B366" s="235" t="s">
        <v>65</v>
      </c>
      <c r="C366" s="262">
        <v>44133.0</v>
      </c>
      <c r="D366" s="226">
        <v>20.0</v>
      </c>
      <c r="E366" s="241" t="s">
        <v>265</v>
      </c>
      <c r="F366" s="194" t="s">
        <v>262</v>
      </c>
      <c r="G366" s="194"/>
      <c r="H366" s="194"/>
      <c r="I366" s="194"/>
      <c r="J366" s="194"/>
      <c r="K366" s="194"/>
    </row>
    <row r="367" ht="16.5" customHeight="1">
      <c r="A367" s="233"/>
      <c r="B367" s="74" t="s">
        <v>67</v>
      </c>
      <c r="C367" s="261">
        <v>44132.0</v>
      </c>
      <c r="D367" s="221">
        <v>295.0</v>
      </c>
      <c r="E367" s="242" t="s">
        <v>265</v>
      </c>
      <c r="F367" s="187"/>
      <c r="G367" s="187"/>
      <c r="H367" s="187"/>
      <c r="I367" s="187"/>
      <c r="J367" s="187"/>
      <c r="K367" s="187"/>
    </row>
    <row r="368" ht="16.5" customHeight="1">
      <c r="A368" s="234"/>
      <c r="B368" s="235" t="s">
        <v>65</v>
      </c>
      <c r="C368" s="262">
        <v>44132.0</v>
      </c>
      <c r="D368" s="226">
        <v>840.0</v>
      </c>
      <c r="E368" s="241" t="s">
        <v>265</v>
      </c>
      <c r="F368" s="194"/>
      <c r="G368" s="194"/>
      <c r="H368" s="194"/>
      <c r="I368" s="194"/>
      <c r="J368" s="194"/>
      <c r="K368" s="194"/>
    </row>
    <row r="369" ht="16.5" customHeight="1">
      <c r="A369" s="233"/>
      <c r="B369" s="74" t="s">
        <v>65</v>
      </c>
      <c r="C369" s="261">
        <v>44130.0</v>
      </c>
      <c r="D369" s="221">
        <v>100.0</v>
      </c>
      <c r="E369" s="242" t="s">
        <v>265</v>
      </c>
      <c r="F369" s="187" t="s">
        <v>262</v>
      </c>
      <c r="G369" s="187"/>
      <c r="H369" s="187"/>
      <c r="I369" s="187"/>
      <c r="J369" s="187"/>
      <c r="K369" s="187"/>
    </row>
    <row r="370" ht="16.5" customHeight="1">
      <c r="A370" s="234"/>
      <c r="B370" s="235" t="s">
        <v>65</v>
      </c>
      <c r="C370" s="262">
        <v>44130.0</v>
      </c>
      <c r="D370" s="226">
        <v>80.0</v>
      </c>
      <c r="E370" s="241" t="s">
        <v>265</v>
      </c>
      <c r="F370" s="194" t="s">
        <v>262</v>
      </c>
      <c r="G370" s="194"/>
      <c r="H370" s="194"/>
      <c r="I370" s="194"/>
      <c r="J370" s="194"/>
      <c r="K370" s="194"/>
    </row>
    <row r="371" ht="16.5" customHeight="1">
      <c r="A371" s="233"/>
      <c r="B371" s="74" t="s">
        <v>65</v>
      </c>
      <c r="C371" s="261">
        <v>44126.0</v>
      </c>
      <c r="D371" s="221">
        <v>20.0</v>
      </c>
      <c r="E371" s="242" t="s">
        <v>265</v>
      </c>
      <c r="F371" s="187" t="s">
        <v>262</v>
      </c>
      <c r="G371" s="187"/>
      <c r="H371" s="187"/>
      <c r="I371" s="187"/>
      <c r="J371" s="187"/>
      <c r="K371" s="187"/>
    </row>
    <row r="372" ht="16.5" customHeight="1">
      <c r="A372" s="234"/>
      <c r="B372" s="235" t="s">
        <v>65</v>
      </c>
      <c r="C372" s="262">
        <v>44125.0</v>
      </c>
      <c r="D372" s="226">
        <v>80.0</v>
      </c>
      <c r="E372" s="241" t="s">
        <v>265</v>
      </c>
      <c r="F372" s="194" t="s">
        <v>262</v>
      </c>
      <c r="G372" s="194"/>
      <c r="H372" s="194"/>
      <c r="I372" s="194"/>
      <c r="J372" s="194"/>
      <c r="K372" s="194"/>
    </row>
    <row r="373" ht="16.5" customHeight="1">
      <c r="A373" s="233"/>
      <c r="B373" s="74" t="s">
        <v>65</v>
      </c>
      <c r="C373" s="261">
        <v>44123.0</v>
      </c>
      <c r="D373" s="221">
        <v>100.0</v>
      </c>
      <c r="E373" s="242" t="s">
        <v>265</v>
      </c>
      <c r="F373" s="187" t="s">
        <v>262</v>
      </c>
      <c r="G373" s="187"/>
      <c r="H373" s="187"/>
      <c r="I373" s="187"/>
      <c r="J373" s="187"/>
      <c r="K373" s="187"/>
    </row>
    <row r="374" ht="16.5" customHeight="1">
      <c r="A374" s="234"/>
      <c r="B374" s="235" t="s">
        <v>65</v>
      </c>
      <c r="C374" s="262">
        <v>44119.0</v>
      </c>
      <c r="D374" s="226">
        <v>120.0</v>
      </c>
      <c r="E374" s="241" t="s">
        <v>265</v>
      </c>
      <c r="F374" s="194" t="s">
        <v>262</v>
      </c>
      <c r="G374" s="194"/>
      <c r="H374" s="194"/>
      <c r="I374" s="194"/>
      <c r="J374" s="194"/>
      <c r="K374" s="194"/>
    </row>
    <row r="375" ht="16.5" customHeight="1">
      <c r="A375" s="233"/>
      <c r="B375" s="74" t="s">
        <v>65</v>
      </c>
      <c r="C375" s="261">
        <v>44118.0</v>
      </c>
      <c r="D375" s="221">
        <v>140.0</v>
      </c>
      <c r="E375" s="242" t="s">
        <v>265</v>
      </c>
      <c r="F375" s="187" t="s">
        <v>262</v>
      </c>
      <c r="G375" s="187"/>
      <c r="H375" s="187"/>
      <c r="I375" s="187"/>
      <c r="J375" s="187"/>
      <c r="K375" s="187"/>
    </row>
    <row r="376" ht="16.5" customHeight="1">
      <c r="A376" s="234"/>
      <c r="B376" s="235" t="s">
        <v>65</v>
      </c>
      <c r="C376" s="262">
        <v>44117.0</v>
      </c>
      <c r="D376" s="226">
        <v>20.0</v>
      </c>
      <c r="E376" s="241" t="s">
        <v>265</v>
      </c>
      <c r="F376" s="194" t="s">
        <v>262</v>
      </c>
      <c r="G376" s="194"/>
      <c r="H376" s="194"/>
      <c r="I376" s="194"/>
      <c r="J376" s="194"/>
      <c r="K376" s="194"/>
    </row>
    <row r="377" ht="16.5" customHeight="1">
      <c r="A377" s="233"/>
      <c r="B377" s="74" t="s">
        <v>65</v>
      </c>
      <c r="C377" s="261">
        <v>44116.0</v>
      </c>
      <c r="D377" s="221">
        <v>4340.0</v>
      </c>
      <c r="E377" s="242" t="s">
        <v>265</v>
      </c>
      <c r="F377" s="187" t="s">
        <v>262</v>
      </c>
      <c r="G377" s="187"/>
      <c r="H377" s="187"/>
      <c r="I377" s="187"/>
      <c r="J377" s="187"/>
      <c r="K377" s="187"/>
    </row>
    <row r="378" ht="16.5" customHeight="1">
      <c r="A378" s="234"/>
      <c r="B378" s="235" t="s">
        <v>65</v>
      </c>
      <c r="C378" s="257">
        <v>44113.0</v>
      </c>
      <c r="D378" s="226">
        <v>20.0</v>
      </c>
      <c r="E378" s="241" t="s">
        <v>265</v>
      </c>
      <c r="F378" s="194" t="s">
        <v>262</v>
      </c>
      <c r="G378" s="194"/>
      <c r="H378" s="194"/>
      <c r="I378" s="194"/>
      <c r="J378" s="194"/>
      <c r="K378" s="194"/>
    </row>
    <row r="379" ht="16.5" customHeight="1">
      <c r="A379" s="233"/>
      <c r="B379" s="74" t="s">
        <v>65</v>
      </c>
      <c r="C379" s="255">
        <v>44110.0</v>
      </c>
      <c r="D379" s="221">
        <v>20.0</v>
      </c>
      <c r="E379" s="242" t="s">
        <v>265</v>
      </c>
      <c r="F379" s="187" t="s">
        <v>262</v>
      </c>
      <c r="G379" s="187"/>
      <c r="H379" s="187"/>
      <c r="I379" s="187"/>
      <c r="J379" s="187"/>
      <c r="K379" s="187"/>
    </row>
    <row r="380" ht="16.5" customHeight="1">
      <c r="A380" s="234"/>
      <c r="B380" s="235" t="s">
        <v>65</v>
      </c>
      <c r="C380" s="257">
        <v>44109.0</v>
      </c>
      <c r="D380" s="226">
        <v>80.0</v>
      </c>
      <c r="E380" s="241" t="s">
        <v>265</v>
      </c>
      <c r="F380" s="194" t="s">
        <v>262</v>
      </c>
      <c r="G380" s="194"/>
      <c r="H380" s="194"/>
      <c r="I380" s="194"/>
      <c r="J380" s="194"/>
      <c r="K380" s="194"/>
    </row>
    <row r="381" ht="16.5" customHeight="1">
      <c r="A381" s="233"/>
      <c r="B381" s="74" t="s">
        <v>65</v>
      </c>
      <c r="C381" s="255">
        <v>44105.0</v>
      </c>
      <c r="D381" s="221">
        <v>20.0</v>
      </c>
      <c r="E381" s="242" t="s">
        <v>265</v>
      </c>
      <c r="F381" s="187" t="s">
        <v>262</v>
      </c>
      <c r="G381" s="187"/>
      <c r="H381" s="187"/>
      <c r="I381" s="187"/>
      <c r="J381" s="187"/>
      <c r="K381" s="187"/>
    </row>
    <row r="382" ht="16.5" customHeight="1">
      <c r="A382" s="234"/>
      <c r="B382" s="235" t="s">
        <v>266</v>
      </c>
      <c r="C382" s="257">
        <v>44105.0</v>
      </c>
      <c r="D382" s="226">
        <v>0.14</v>
      </c>
      <c r="E382" s="241" t="s">
        <v>265</v>
      </c>
      <c r="F382" s="194" t="s">
        <v>267</v>
      </c>
      <c r="G382" s="194"/>
      <c r="H382" s="194"/>
      <c r="I382" s="194"/>
      <c r="J382" s="194"/>
      <c r="K382" s="194"/>
    </row>
    <row r="383" ht="16.5" customHeight="1">
      <c r="A383" s="233"/>
      <c r="B383" s="74" t="s">
        <v>65</v>
      </c>
      <c r="C383" s="255">
        <v>44104.0</v>
      </c>
      <c r="D383" s="221">
        <v>12.0</v>
      </c>
      <c r="E383" s="242" t="s">
        <v>265</v>
      </c>
      <c r="F383" s="187" t="s">
        <v>262</v>
      </c>
      <c r="G383" s="187"/>
      <c r="H383" s="187"/>
      <c r="I383" s="187"/>
      <c r="J383" s="187"/>
      <c r="K383" s="187"/>
    </row>
    <row r="384" ht="16.5" customHeight="1">
      <c r="A384" s="234"/>
      <c r="B384" s="235" t="s">
        <v>65</v>
      </c>
      <c r="C384" s="257">
        <v>44104.0</v>
      </c>
      <c r="D384" s="226">
        <v>24.0</v>
      </c>
      <c r="E384" s="241" t="s">
        <v>265</v>
      </c>
      <c r="F384" s="194" t="s">
        <v>262</v>
      </c>
      <c r="G384" s="194"/>
      <c r="H384" s="194"/>
      <c r="I384" s="194"/>
      <c r="J384" s="194"/>
      <c r="K384" s="194"/>
    </row>
    <row r="385" ht="16.5" customHeight="1">
      <c r="A385" s="233"/>
      <c r="B385" s="74" t="s">
        <v>65</v>
      </c>
      <c r="C385" s="255">
        <v>44103.0</v>
      </c>
      <c r="D385" s="221">
        <v>40.0</v>
      </c>
      <c r="E385" s="242" t="s">
        <v>265</v>
      </c>
      <c r="F385" s="187" t="s">
        <v>262</v>
      </c>
      <c r="G385" s="187"/>
      <c r="H385" s="187"/>
      <c r="I385" s="187"/>
      <c r="J385" s="187"/>
      <c r="K385" s="187"/>
    </row>
    <row r="386" ht="16.5" customHeight="1">
      <c r="A386" s="234"/>
      <c r="B386" s="235" t="s">
        <v>65</v>
      </c>
      <c r="C386" s="257">
        <v>44102.0</v>
      </c>
      <c r="D386" s="226">
        <v>120.0</v>
      </c>
      <c r="E386" s="241" t="s">
        <v>265</v>
      </c>
      <c r="F386" s="194" t="s">
        <v>262</v>
      </c>
      <c r="G386" s="194"/>
      <c r="H386" s="194"/>
      <c r="I386" s="194"/>
      <c r="J386" s="194"/>
      <c r="K386" s="194"/>
    </row>
    <row r="387" ht="16.5" customHeight="1">
      <c r="A387" s="233"/>
      <c r="B387" s="74" t="s">
        <v>65</v>
      </c>
      <c r="C387" s="255">
        <v>44099.0</v>
      </c>
      <c r="D387" s="221">
        <v>50.0</v>
      </c>
      <c r="E387" s="242" t="s">
        <v>265</v>
      </c>
      <c r="F387" s="187" t="s">
        <v>262</v>
      </c>
      <c r="G387" s="187"/>
      <c r="H387" s="187"/>
      <c r="I387" s="187"/>
      <c r="J387" s="187"/>
      <c r="K387" s="187"/>
    </row>
    <row r="388" ht="16.5" customHeight="1">
      <c r="A388" s="234"/>
      <c r="B388" s="235" t="s">
        <v>65</v>
      </c>
      <c r="C388" s="257">
        <v>44097.0</v>
      </c>
      <c r="D388" s="226">
        <v>100.0</v>
      </c>
      <c r="E388" s="241" t="s">
        <v>265</v>
      </c>
      <c r="F388" s="194" t="s">
        <v>262</v>
      </c>
      <c r="G388" s="194"/>
      <c r="H388" s="194"/>
      <c r="I388" s="194"/>
      <c r="J388" s="194"/>
      <c r="K388" s="194"/>
    </row>
    <row r="389" ht="16.5" customHeight="1">
      <c r="A389" s="233"/>
      <c r="B389" s="74" t="s">
        <v>66</v>
      </c>
      <c r="C389" s="255">
        <v>44095.0</v>
      </c>
      <c r="D389" s="221">
        <v>500.0</v>
      </c>
      <c r="E389" s="242" t="s">
        <v>265</v>
      </c>
      <c r="F389" s="187" t="s">
        <v>262</v>
      </c>
      <c r="G389" s="187"/>
      <c r="H389" s="187"/>
      <c r="I389" s="187"/>
      <c r="J389" s="187"/>
      <c r="K389" s="187"/>
    </row>
    <row r="390" ht="16.5" customHeight="1">
      <c r="A390" s="234"/>
      <c r="B390" s="235" t="s">
        <v>65</v>
      </c>
      <c r="C390" s="257">
        <v>44095.0</v>
      </c>
      <c r="D390" s="226">
        <v>20.0</v>
      </c>
      <c r="E390" s="241" t="s">
        <v>265</v>
      </c>
      <c r="F390" s="194" t="s">
        <v>262</v>
      </c>
      <c r="G390" s="194"/>
      <c r="H390" s="194"/>
      <c r="I390" s="194"/>
      <c r="J390" s="194"/>
      <c r="K390" s="194"/>
    </row>
    <row r="391" ht="16.5" customHeight="1">
      <c r="A391" s="233"/>
      <c r="B391" s="74" t="s">
        <v>65</v>
      </c>
      <c r="C391" s="255">
        <v>44092.0</v>
      </c>
      <c r="D391" s="221">
        <v>100.0</v>
      </c>
      <c r="E391" s="242" t="s">
        <v>265</v>
      </c>
      <c r="F391" s="187" t="s">
        <v>262</v>
      </c>
      <c r="G391" s="187"/>
      <c r="H391" s="187"/>
      <c r="I391" s="187"/>
      <c r="J391" s="187"/>
      <c r="K391" s="187"/>
    </row>
    <row r="392" ht="16.5" customHeight="1">
      <c r="A392" s="234"/>
      <c r="B392" s="235" t="s">
        <v>65</v>
      </c>
      <c r="C392" s="257">
        <v>44091.0</v>
      </c>
      <c r="D392" s="226">
        <v>20.0</v>
      </c>
      <c r="E392" s="241" t="s">
        <v>265</v>
      </c>
      <c r="F392" s="194" t="s">
        <v>262</v>
      </c>
      <c r="G392" s="194"/>
      <c r="H392" s="194"/>
      <c r="I392" s="194"/>
      <c r="J392" s="194"/>
      <c r="K392" s="194"/>
    </row>
    <row r="393" ht="16.5" customHeight="1">
      <c r="A393" s="233"/>
      <c r="B393" s="74" t="s">
        <v>65</v>
      </c>
      <c r="C393" s="255">
        <v>44090.0</v>
      </c>
      <c r="D393" s="221">
        <v>100.0</v>
      </c>
      <c r="E393" s="242" t="s">
        <v>265</v>
      </c>
      <c r="F393" s="187" t="s">
        <v>262</v>
      </c>
      <c r="G393" s="187"/>
      <c r="H393" s="187"/>
      <c r="I393" s="187"/>
      <c r="J393" s="187"/>
      <c r="K393" s="187"/>
    </row>
    <row r="394" ht="16.5" customHeight="1">
      <c r="A394" s="234"/>
      <c r="B394" s="235" t="s">
        <v>65</v>
      </c>
      <c r="C394" s="257">
        <v>44089.0</v>
      </c>
      <c r="D394" s="226">
        <v>140.0</v>
      </c>
      <c r="E394" s="241" t="s">
        <v>265</v>
      </c>
      <c r="F394" s="194" t="s">
        <v>262</v>
      </c>
      <c r="G394" s="194"/>
      <c r="H394" s="194"/>
      <c r="I394" s="194"/>
      <c r="J394" s="194"/>
      <c r="K394" s="194"/>
    </row>
    <row r="395" ht="16.5" customHeight="1">
      <c r="A395" s="233"/>
      <c r="B395" s="74" t="s">
        <v>65</v>
      </c>
      <c r="C395" s="255">
        <v>44085.0</v>
      </c>
      <c r="D395" s="221">
        <v>20.0</v>
      </c>
      <c r="E395" s="242" t="s">
        <v>265</v>
      </c>
      <c r="F395" s="187" t="s">
        <v>262</v>
      </c>
      <c r="G395" s="187"/>
      <c r="H395" s="187"/>
      <c r="I395" s="187"/>
      <c r="J395" s="187"/>
      <c r="K395" s="187"/>
    </row>
    <row r="396" ht="16.5" customHeight="1">
      <c r="A396" s="234"/>
      <c r="B396" s="235" t="s">
        <v>65</v>
      </c>
      <c r="C396" s="257">
        <v>44084.0</v>
      </c>
      <c r="D396" s="226">
        <v>4340.0</v>
      </c>
      <c r="E396" s="241" t="s">
        <v>265</v>
      </c>
      <c r="F396" s="194" t="s">
        <v>262</v>
      </c>
      <c r="G396" s="194"/>
      <c r="H396" s="194"/>
      <c r="I396" s="194"/>
      <c r="J396" s="194"/>
      <c r="K396" s="194"/>
    </row>
    <row r="397" ht="16.5" customHeight="1">
      <c r="A397" s="233"/>
      <c r="B397" s="74" t="s">
        <v>65</v>
      </c>
      <c r="C397" s="255">
        <v>44082.0</v>
      </c>
      <c r="D397" s="221">
        <v>120.0</v>
      </c>
      <c r="E397" s="242" t="s">
        <v>265</v>
      </c>
      <c r="F397" s="187" t="s">
        <v>262</v>
      </c>
      <c r="G397" s="187"/>
      <c r="H397" s="187"/>
      <c r="I397" s="187"/>
      <c r="J397" s="187"/>
      <c r="K397" s="187"/>
    </row>
    <row r="398" ht="16.5" customHeight="1">
      <c r="A398" s="234"/>
      <c r="B398" s="235" t="s">
        <v>65</v>
      </c>
      <c r="C398" s="257">
        <v>44081.0</v>
      </c>
      <c r="D398" s="226">
        <v>40.0</v>
      </c>
      <c r="E398" s="241" t="s">
        <v>265</v>
      </c>
      <c r="F398" s="194" t="s">
        <v>262</v>
      </c>
      <c r="G398" s="194"/>
      <c r="H398" s="194"/>
      <c r="I398" s="194"/>
      <c r="J398" s="194"/>
      <c r="K398" s="194"/>
    </row>
    <row r="399" ht="16.5" customHeight="1">
      <c r="A399" s="233"/>
      <c r="B399" s="74" t="s">
        <v>65</v>
      </c>
      <c r="C399" s="255">
        <v>44078.0</v>
      </c>
      <c r="D399" s="221">
        <v>380.0</v>
      </c>
      <c r="E399" s="242" t="s">
        <v>265</v>
      </c>
      <c r="F399" s="187" t="s">
        <v>262</v>
      </c>
      <c r="G399" s="187"/>
      <c r="H399" s="187"/>
      <c r="I399" s="187"/>
      <c r="J399" s="187"/>
      <c r="K399" s="187"/>
    </row>
    <row r="400" ht="16.5" customHeight="1">
      <c r="A400" s="234"/>
      <c r="B400" s="235" t="s">
        <v>65</v>
      </c>
      <c r="C400" s="257">
        <v>44077.0</v>
      </c>
      <c r="D400" s="226">
        <v>120.0</v>
      </c>
      <c r="E400" s="241" t="s">
        <v>265</v>
      </c>
      <c r="F400" s="194" t="s">
        <v>262</v>
      </c>
      <c r="G400" s="194"/>
      <c r="H400" s="194"/>
      <c r="I400" s="194"/>
      <c r="J400" s="194"/>
      <c r="K400" s="194"/>
    </row>
    <row r="401" ht="16.5" customHeight="1">
      <c r="A401" s="233"/>
      <c r="B401" s="74" t="s">
        <v>65</v>
      </c>
      <c r="C401" s="255">
        <v>44076.0</v>
      </c>
      <c r="D401" s="221">
        <v>40.0</v>
      </c>
      <c r="E401" s="242" t="s">
        <v>265</v>
      </c>
      <c r="F401" s="187" t="s">
        <v>262</v>
      </c>
      <c r="G401" s="187"/>
      <c r="H401" s="187"/>
      <c r="I401" s="187"/>
      <c r="J401" s="187"/>
      <c r="K401" s="187"/>
    </row>
    <row r="402" ht="16.5" customHeight="1">
      <c r="A402" s="234"/>
      <c r="B402" s="235" t="s">
        <v>65</v>
      </c>
      <c r="C402" s="257">
        <v>44075.0</v>
      </c>
      <c r="D402" s="226">
        <v>80.0</v>
      </c>
      <c r="E402" s="241" t="s">
        <v>265</v>
      </c>
      <c r="F402" s="194" t="s">
        <v>262</v>
      </c>
      <c r="G402" s="194"/>
      <c r="H402" s="194"/>
      <c r="I402" s="194"/>
      <c r="J402" s="194"/>
      <c r="K402" s="194"/>
    </row>
    <row r="403" ht="16.5" customHeight="1">
      <c r="A403" s="233"/>
      <c r="B403" s="74" t="s">
        <v>65</v>
      </c>
      <c r="C403" s="255">
        <v>44075.0</v>
      </c>
      <c r="D403" s="221">
        <v>80.0</v>
      </c>
      <c r="E403" s="242" t="s">
        <v>265</v>
      </c>
      <c r="F403" s="187" t="s">
        <v>262</v>
      </c>
      <c r="G403" s="187"/>
      <c r="H403" s="187"/>
      <c r="I403" s="187"/>
      <c r="J403" s="187"/>
      <c r="K403" s="187"/>
    </row>
    <row r="404" ht="16.5" customHeight="1">
      <c r="A404" s="234"/>
      <c r="B404" s="235" t="s">
        <v>266</v>
      </c>
      <c r="C404" s="257">
        <v>44075.0</v>
      </c>
      <c r="D404" s="226">
        <v>0.13</v>
      </c>
      <c r="E404" s="241" t="s">
        <v>265</v>
      </c>
      <c r="F404" s="194" t="s">
        <v>267</v>
      </c>
      <c r="G404" s="194"/>
      <c r="H404" s="194"/>
      <c r="I404" s="194"/>
      <c r="J404" s="194"/>
      <c r="K404" s="194"/>
    </row>
    <row r="405" ht="16.5" customHeight="1">
      <c r="A405" s="233"/>
      <c r="B405" s="74" t="s">
        <v>65</v>
      </c>
      <c r="C405" s="255">
        <v>44071.0</v>
      </c>
      <c r="D405" s="221">
        <v>260.0</v>
      </c>
      <c r="E405" s="242" t="s">
        <v>265</v>
      </c>
      <c r="F405" s="187" t="s">
        <v>262</v>
      </c>
      <c r="G405" s="187"/>
      <c r="H405" s="187"/>
      <c r="I405" s="187"/>
      <c r="J405" s="187"/>
      <c r="K405" s="187"/>
    </row>
    <row r="406" ht="16.5" customHeight="1">
      <c r="A406" s="234"/>
      <c r="B406" s="235" t="s">
        <v>65</v>
      </c>
      <c r="C406" s="257">
        <v>44070.0</v>
      </c>
      <c r="D406" s="226">
        <v>200.0</v>
      </c>
      <c r="E406" s="241" t="s">
        <v>265</v>
      </c>
      <c r="F406" s="194" t="s">
        <v>262</v>
      </c>
      <c r="G406" s="194"/>
      <c r="H406" s="194"/>
      <c r="I406" s="194"/>
      <c r="J406" s="194"/>
      <c r="K406" s="194"/>
    </row>
    <row r="407" ht="16.5" customHeight="1">
      <c r="A407" s="233"/>
      <c r="B407" s="74" t="s">
        <v>65</v>
      </c>
      <c r="C407" s="255">
        <v>44069.0</v>
      </c>
      <c r="D407" s="221">
        <v>200.0</v>
      </c>
      <c r="E407" s="242" t="s">
        <v>265</v>
      </c>
      <c r="F407" s="187" t="s">
        <v>262</v>
      </c>
      <c r="G407" s="187"/>
      <c r="H407" s="187"/>
      <c r="I407" s="187"/>
      <c r="J407" s="187"/>
      <c r="K407" s="187"/>
    </row>
    <row r="408" ht="16.5" customHeight="1">
      <c r="A408" s="234"/>
      <c r="B408" s="235" t="s">
        <v>65</v>
      </c>
      <c r="C408" s="257">
        <v>44068.0</v>
      </c>
      <c r="D408" s="226">
        <v>360.0</v>
      </c>
      <c r="E408" s="241" t="s">
        <v>265</v>
      </c>
      <c r="F408" s="194" t="s">
        <v>262</v>
      </c>
      <c r="G408" s="194"/>
      <c r="H408" s="194"/>
      <c r="I408" s="194"/>
      <c r="J408" s="194"/>
      <c r="K408" s="194"/>
    </row>
    <row r="409" ht="16.5" customHeight="1">
      <c r="A409" s="233"/>
      <c r="B409" s="74" t="s">
        <v>65</v>
      </c>
      <c r="C409" s="255">
        <v>44067.0</v>
      </c>
      <c r="D409" s="221">
        <v>320.0</v>
      </c>
      <c r="E409" s="242" t="s">
        <v>265</v>
      </c>
      <c r="F409" s="187" t="s">
        <v>262</v>
      </c>
      <c r="G409" s="187"/>
      <c r="H409" s="187"/>
      <c r="I409" s="187"/>
      <c r="J409" s="187"/>
      <c r="K409" s="187"/>
    </row>
    <row r="410" ht="16.5" customHeight="1">
      <c r="A410" s="234"/>
      <c r="B410" s="235" t="s">
        <v>65</v>
      </c>
      <c r="C410" s="257">
        <v>44064.0</v>
      </c>
      <c r="D410" s="226">
        <v>60.0</v>
      </c>
      <c r="E410" s="241" t="s">
        <v>265</v>
      </c>
      <c r="F410" s="194" t="s">
        <v>262</v>
      </c>
      <c r="G410" s="194"/>
      <c r="H410" s="194"/>
      <c r="I410" s="194"/>
      <c r="J410" s="194"/>
      <c r="K410" s="194"/>
    </row>
    <row r="411" ht="16.5" customHeight="1">
      <c r="A411" s="233"/>
      <c r="B411" s="74" t="s">
        <v>65</v>
      </c>
      <c r="C411" s="255">
        <v>44064.0</v>
      </c>
      <c r="D411" s="221">
        <v>60.0</v>
      </c>
      <c r="E411" s="242" t="s">
        <v>265</v>
      </c>
      <c r="F411" s="187" t="s">
        <v>262</v>
      </c>
      <c r="G411" s="187"/>
      <c r="H411" s="187"/>
      <c r="I411" s="187"/>
      <c r="J411" s="187"/>
      <c r="K411" s="187"/>
    </row>
    <row r="412" ht="16.5" customHeight="1">
      <c r="A412" s="234"/>
      <c r="B412" s="235" t="s">
        <v>65</v>
      </c>
      <c r="C412" s="257">
        <v>44063.0</v>
      </c>
      <c r="D412" s="226">
        <v>120.0</v>
      </c>
      <c r="E412" s="241" t="s">
        <v>265</v>
      </c>
      <c r="F412" s="194" t="s">
        <v>262</v>
      </c>
      <c r="G412" s="194"/>
      <c r="H412" s="194"/>
      <c r="I412" s="194"/>
      <c r="J412" s="194"/>
      <c r="K412" s="194"/>
    </row>
    <row r="413" ht="16.5" customHeight="1">
      <c r="A413" s="233"/>
      <c r="B413" s="74" t="s">
        <v>65</v>
      </c>
      <c r="C413" s="255">
        <v>44062.0</v>
      </c>
      <c r="D413" s="221">
        <v>1720.0</v>
      </c>
      <c r="E413" s="242" t="s">
        <v>265</v>
      </c>
      <c r="F413" s="187" t="s">
        <v>262</v>
      </c>
      <c r="G413" s="187"/>
      <c r="H413" s="187"/>
      <c r="I413" s="187"/>
      <c r="J413" s="187"/>
      <c r="K413" s="187"/>
    </row>
    <row r="414" ht="16.5" customHeight="1">
      <c r="A414" s="234"/>
      <c r="B414" s="235" t="s">
        <v>65</v>
      </c>
      <c r="C414" s="257">
        <v>44061.0</v>
      </c>
      <c r="D414" s="226">
        <v>40.0</v>
      </c>
      <c r="E414" s="241" t="s">
        <v>265</v>
      </c>
      <c r="F414" s="194" t="s">
        <v>262</v>
      </c>
      <c r="G414" s="194"/>
      <c r="H414" s="194"/>
      <c r="I414" s="194"/>
      <c r="J414" s="194"/>
      <c r="K414" s="194"/>
    </row>
    <row r="415" ht="16.5" customHeight="1">
      <c r="A415" s="233"/>
      <c r="B415" s="74" t="s">
        <v>60</v>
      </c>
      <c r="C415" s="255">
        <v>44060.0</v>
      </c>
      <c r="D415" s="221">
        <v>500.0</v>
      </c>
      <c r="E415" s="242" t="s">
        <v>265</v>
      </c>
      <c r="F415" s="187" t="s">
        <v>262</v>
      </c>
      <c r="G415" s="187"/>
      <c r="H415" s="187"/>
      <c r="I415" s="187"/>
      <c r="J415" s="187"/>
      <c r="K415" s="187"/>
    </row>
    <row r="416" ht="16.5" customHeight="1">
      <c r="A416" s="234"/>
      <c r="B416" s="235" t="s">
        <v>65</v>
      </c>
      <c r="C416" s="257">
        <v>44060.0</v>
      </c>
      <c r="D416" s="226">
        <v>580.0</v>
      </c>
      <c r="E416" s="241" t="s">
        <v>265</v>
      </c>
      <c r="F416" s="194" t="s">
        <v>262</v>
      </c>
      <c r="G416" s="194"/>
      <c r="H416" s="194"/>
      <c r="I416" s="194"/>
      <c r="J416" s="194"/>
      <c r="K416" s="194"/>
    </row>
    <row r="417" ht="16.5" customHeight="1">
      <c r="A417" s="233"/>
      <c r="B417" s="74" t="s">
        <v>65</v>
      </c>
      <c r="C417" s="255">
        <v>44057.0</v>
      </c>
      <c r="D417" s="221">
        <v>20.0</v>
      </c>
      <c r="E417" s="242" t="s">
        <v>265</v>
      </c>
      <c r="F417" s="187" t="s">
        <v>262</v>
      </c>
      <c r="G417" s="187"/>
      <c r="H417" s="187"/>
      <c r="I417" s="187"/>
      <c r="J417" s="187"/>
      <c r="K417" s="187"/>
    </row>
    <row r="418" ht="16.5" customHeight="1">
      <c r="A418" s="234"/>
      <c r="B418" s="235" t="s">
        <v>65</v>
      </c>
      <c r="C418" s="257">
        <v>44056.0</v>
      </c>
      <c r="D418" s="226">
        <v>240.0</v>
      </c>
      <c r="E418" s="241" t="s">
        <v>265</v>
      </c>
      <c r="F418" s="194" t="s">
        <v>262</v>
      </c>
      <c r="G418" s="194"/>
      <c r="H418" s="194"/>
      <c r="I418" s="194"/>
      <c r="J418" s="194"/>
      <c r="K418" s="194"/>
    </row>
    <row r="419" ht="16.5" customHeight="1">
      <c r="A419" s="233"/>
      <c r="B419" s="74" t="s">
        <v>65</v>
      </c>
      <c r="C419" s="255">
        <v>44055.0</v>
      </c>
      <c r="D419" s="221">
        <v>80.0</v>
      </c>
      <c r="E419" s="242" t="s">
        <v>265</v>
      </c>
      <c r="F419" s="187" t="s">
        <v>262</v>
      </c>
      <c r="G419" s="187"/>
      <c r="H419" s="187"/>
      <c r="I419" s="187"/>
      <c r="J419" s="187"/>
      <c r="K419" s="187"/>
    </row>
    <row r="420" ht="16.5" customHeight="1">
      <c r="A420" s="234"/>
      <c r="B420" s="235" t="s">
        <v>5</v>
      </c>
      <c r="C420" s="257">
        <v>44053.0</v>
      </c>
      <c r="D420" s="226">
        <v>10.0</v>
      </c>
      <c r="E420" s="241" t="s">
        <v>265</v>
      </c>
      <c r="F420" s="194" t="s">
        <v>262</v>
      </c>
      <c r="G420" s="194"/>
      <c r="H420" s="194"/>
      <c r="I420" s="194"/>
      <c r="J420" s="194"/>
      <c r="K420" s="194"/>
    </row>
    <row r="421" ht="16.5" customHeight="1">
      <c r="A421" s="233"/>
      <c r="B421" s="74" t="s">
        <v>266</v>
      </c>
      <c r="C421" s="255">
        <v>44046.0</v>
      </c>
      <c r="D421" s="221">
        <v>0.15</v>
      </c>
      <c r="E421" s="242" t="s">
        <v>265</v>
      </c>
      <c r="F421" s="187" t="s">
        <v>267</v>
      </c>
      <c r="G421" s="187"/>
      <c r="H421" s="187"/>
      <c r="I421" s="187"/>
      <c r="J421" s="187"/>
      <c r="K421" s="187"/>
    </row>
    <row r="422" ht="16.5" customHeight="1">
      <c r="A422" s="234"/>
      <c r="B422" s="235" t="s">
        <v>66</v>
      </c>
      <c r="C422" s="257">
        <v>44029.0</v>
      </c>
      <c r="D422" s="226">
        <v>500.0</v>
      </c>
      <c r="E422" s="241" t="s">
        <v>265</v>
      </c>
      <c r="F422" s="194" t="s">
        <v>262</v>
      </c>
      <c r="G422" s="194"/>
      <c r="H422" s="194"/>
      <c r="I422" s="194"/>
      <c r="J422" s="194"/>
      <c r="K422" s="194"/>
    </row>
    <row r="423" ht="16.5" customHeight="1">
      <c r="A423" s="233"/>
      <c r="B423" s="74" t="s">
        <v>65</v>
      </c>
      <c r="C423" s="255">
        <v>44027.0</v>
      </c>
      <c r="D423" s="221">
        <v>19.41</v>
      </c>
      <c r="E423" s="242" t="s">
        <v>265</v>
      </c>
      <c r="F423" s="187" t="s">
        <v>262</v>
      </c>
      <c r="G423" s="187"/>
      <c r="H423" s="187"/>
      <c r="I423" s="187"/>
      <c r="J423" s="187"/>
      <c r="K423" s="187"/>
    </row>
    <row r="424" ht="16.5" customHeight="1">
      <c r="A424" s="234"/>
      <c r="B424" s="235" t="s">
        <v>66</v>
      </c>
      <c r="C424" s="257">
        <v>44025.0</v>
      </c>
      <c r="D424" s="226">
        <v>723.0</v>
      </c>
      <c r="E424" s="241" t="s">
        <v>265</v>
      </c>
      <c r="F424" s="194" t="s">
        <v>262</v>
      </c>
      <c r="G424" s="194"/>
      <c r="H424" s="194"/>
      <c r="I424" s="194"/>
      <c r="J424" s="194"/>
      <c r="K424" s="194"/>
    </row>
    <row r="425" ht="16.5" customHeight="1">
      <c r="A425" s="233"/>
      <c r="B425" s="74" t="s">
        <v>60</v>
      </c>
      <c r="C425" s="255">
        <v>44022.0</v>
      </c>
      <c r="D425" s="221">
        <v>2500.0</v>
      </c>
      <c r="E425" s="242" t="s">
        <v>265</v>
      </c>
      <c r="F425" s="187" t="s">
        <v>262</v>
      </c>
      <c r="G425" s="187"/>
      <c r="H425" s="187"/>
      <c r="I425" s="187"/>
      <c r="J425" s="187"/>
      <c r="K425" s="187"/>
    </row>
    <row r="426" ht="16.5" customHeight="1">
      <c r="A426" s="234"/>
      <c r="B426" s="235" t="s">
        <v>65</v>
      </c>
      <c r="C426" s="257">
        <v>44022.0</v>
      </c>
      <c r="D426" s="226">
        <v>10.0</v>
      </c>
      <c r="E426" s="241" t="s">
        <v>265</v>
      </c>
      <c r="F426" s="194" t="s">
        <v>262</v>
      </c>
      <c r="G426" s="194"/>
      <c r="H426" s="194"/>
      <c r="I426" s="194"/>
      <c r="J426" s="194"/>
      <c r="K426" s="194"/>
    </row>
    <row r="427" ht="16.5" customHeight="1">
      <c r="A427" s="233"/>
      <c r="B427" s="74" t="s">
        <v>65</v>
      </c>
      <c r="C427" s="255">
        <v>44020.0</v>
      </c>
      <c r="D427" s="221">
        <v>19.41</v>
      </c>
      <c r="E427" s="242" t="s">
        <v>265</v>
      </c>
      <c r="F427" s="187" t="s">
        <v>262</v>
      </c>
      <c r="G427" s="187"/>
      <c r="H427" s="187"/>
      <c r="I427" s="187"/>
      <c r="J427" s="187"/>
      <c r="K427" s="187"/>
    </row>
    <row r="428" ht="16.5" customHeight="1">
      <c r="A428" s="234"/>
      <c r="B428" s="235" t="s">
        <v>65</v>
      </c>
      <c r="C428" s="257">
        <v>44019.0</v>
      </c>
      <c r="D428" s="226">
        <v>19.41</v>
      </c>
      <c r="E428" s="241" t="s">
        <v>265</v>
      </c>
      <c r="F428" s="194" t="s">
        <v>262</v>
      </c>
      <c r="G428" s="194"/>
      <c r="H428" s="194"/>
      <c r="I428" s="194"/>
      <c r="J428" s="194"/>
      <c r="K428" s="194"/>
    </row>
    <row r="429" ht="16.5" customHeight="1">
      <c r="A429" s="233"/>
      <c r="B429" s="74" t="s">
        <v>65</v>
      </c>
      <c r="C429" s="255">
        <v>44018.0</v>
      </c>
      <c r="D429" s="221">
        <v>19.41</v>
      </c>
      <c r="E429" s="242" t="s">
        <v>265</v>
      </c>
      <c r="F429" s="187" t="s">
        <v>262</v>
      </c>
      <c r="G429" s="187"/>
      <c r="H429" s="187"/>
      <c r="I429" s="187"/>
      <c r="J429" s="187"/>
      <c r="K429" s="187"/>
    </row>
    <row r="430" ht="16.5" customHeight="1">
      <c r="A430" s="234"/>
      <c r="B430" s="235" t="s">
        <v>65</v>
      </c>
      <c r="C430" s="257">
        <v>44015.0</v>
      </c>
      <c r="D430" s="226">
        <v>58.23</v>
      </c>
      <c r="E430" s="241" t="s">
        <v>265</v>
      </c>
      <c r="F430" s="194" t="s">
        <v>262</v>
      </c>
      <c r="G430" s="194"/>
      <c r="H430" s="194"/>
      <c r="I430" s="194"/>
      <c r="J430" s="194"/>
      <c r="K430" s="194"/>
    </row>
    <row r="431" ht="16.5" customHeight="1">
      <c r="A431" s="233"/>
      <c r="B431" s="74" t="s">
        <v>65</v>
      </c>
      <c r="C431" s="255">
        <v>44013.0</v>
      </c>
      <c r="D431" s="221">
        <v>77.64</v>
      </c>
      <c r="E431" s="242" t="s">
        <v>265</v>
      </c>
      <c r="F431" s="187" t="s">
        <v>262</v>
      </c>
      <c r="G431" s="187"/>
      <c r="H431" s="187"/>
      <c r="I431" s="187"/>
      <c r="J431" s="187"/>
      <c r="K431" s="187"/>
    </row>
    <row r="432" ht="16.5" customHeight="1">
      <c r="A432" s="234"/>
      <c r="B432" s="235" t="s">
        <v>266</v>
      </c>
      <c r="C432" s="257">
        <v>44013.0</v>
      </c>
      <c r="D432" s="226">
        <v>0.16</v>
      </c>
      <c r="E432" s="241" t="s">
        <v>265</v>
      </c>
      <c r="F432" s="194" t="s">
        <v>267</v>
      </c>
      <c r="G432" s="194"/>
      <c r="H432" s="194"/>
      <c r="I432" s="194"/>
      <c r="J432" s="194"/>
      <c r="K432" s="194"/>
    </row>
    <row r="433" ht="16.5" customHeight="1">
      <c r="A433" s="233"/>
      <c r="B433" s="74" t="s">
        <v>266</v>
      </c>
      <c r="C433" s="255">
        <v>43983.0</v>
      </c>
      <c r="D433" s="221">
        <v>0.19</v>
      </c>
      <c r="E433" s="242" t="s">
        <v>265</v>
      </c>
      <c r="F433" s="187" t="s">
        <v>267</v>
      </c>
      <c r="G433" s="187"/>
      <c r="H433" s="187"/>
      <c r="I433" s="187"/>
      <c r="J433" s="187"/>
      <c r="K433" s="187"/>
    </row>
    <row r="434" ht="16.5" customHeight="1">
      <c r="A434" s="234"/>
      <c r="B434" s="235" t="s">
        <v>266</v>
      </c>
      <c r="C434" s="257">
        <v>44277.0</v>
      </c>
      <c r="D434" s="226">
        <v>0.18</v>
      </c>
      <c r="E434" s="241" t="s">
        <v>269</v>
      </c>
      <c r="F434" s="194" t="s">
        <v>267</v>
      </c>
      <c r="G434" s="194"/>
      <c r="H434" s="194"/>
      <c r="I434" s="194"/>
      <c r="J434" s="194"/>
      <c r="K434" s="194"/>
    </row>
    <row r="435" ht="16.5" customHeight="1">
      <c r="A435" s="233"/>
      <c r="B435" s="74" t="s">
        <v>5</v>
      </c>
      <c r="C435" s="255">
        <v>44055.0</v>
      </c>
      <c r="D435" s="221">
        <v>37.5</v>
      </c>
      <c r="E435" s="242" t="s">
        <v>270</v>
      </c>
      <c r="F435" s="187" t="s">
        <v>262</v>
      </c>
      <c r="G435" s="187"/>
      <c r="H435" s="187"/>
      <c r="I435" s="187"/>
      <c r="J435" s="187"/>
      <c r="K435" s="187"/>
    </row>
    <row r="436" ht="16.5" customHeight="1">
      <c r="A436" s="234"/>
      <c r="B436" s="235" t="s">
        <v>5</v>
      </c>
      <c r="C436" s="257">
        <v>44168.0</v>
      </c>
      <c r="D436" s="226">
        <v>15.0</v>
      </c>
      <c r="E436" s="241" t="s">
        <v>270</v>
      </c>
      <c r="F436" s="194" t="s">
        <v>262</v>
      </c>
      <c r="G436" s="194"/>
      <c r="H436" s="194"/>
      <c r="I436" s="194"/>
      <c r="J436" s="194"/>
      <c r="K436" s="194"/>
    </row>
    <row r="437" ht="16.5" customHeight="1">
      <c r="A437" s="233"/>
      <c r="B437" s="74" t="s">
        <v>5</v>
      </c>
      <c r="C437" s="255">
        <v>44153.0</v>
      </c>
      <c r="D437" s="221">
        <v>32.0</v>
      </c>
      <c r="E437" s="242" t="s">
        <v>270</v>
      </c>
      <c r="F437" s="187" t="s">
        <v>262</v>
      </c>
      <c r="G437" s="187"/>
      <c r="H437" s="187"/>
      <c r="I437" s="187"/>
      <c r="J437" s="187"/>
      <c r="K437" s="187"/>
    </row>
    <row r="438" ht="16.5" customHeight="1">
      <c r="A438" s="234"/>
      <c r="B438" s="235"/>
      <c r="C438" s="225"/>
      <c r="D438" s="226"/>
      <c r="E438" s="263"/>
      <c r="F438" s="194"/>
      <c r="G438" s="194"/>
      <c r="H438" s="194"/>
      <c r="I438" s="194"/>
      <c r="J438" s="194"/>
      <c r="K438" s="194"/>
    </row>
    <row r="439" ht="16.5" customHeight="1">
      <c r="A439" s="233"/>
      <c r="B439" s="74"/>
      <c r="C439" s="220"/>
      <c r="D439" s="221"/>
      <c r="E439" s="236"/>
      <c r="F439" s="187"/>
      <c r="G439" s="187"/>
      <c r="H439" s="187"/>
      <c r="I439" s="187"/>
      <c r="J439" s="187"/>
      <c r="K439" s="187"/>
    </row>
    <row r="440" ht="16.5" customHeight="1">
      <c r="A440" s="234"/>
      <c r="B440" s="235"/>
      <c r="C440" s="225"/>
      <c r="D440" s="226"/>
      <c r="E440" s="263"/>
      <c r="F440" s="194"/>
      <c r="G440" s="194"/>
      <c r="H440" s="194"/>
      <c r="I440" s="194"/>
      <c r="J440" s="194"/>
      <c r="K440" s="194"/>
    </row>
    <row r="441" ht="16.5" customHeight="1">
      <c r="A441" s="233"/>
      <c r="B441" s="74"/>
      <c r="C441" s="220"/>
      <c r="D441" s="221"/>
      <c r="E441" s="236"/>
      <c r="F441" s="187"/>
      <c r="G441" s="187"/>
      <c r="H441" s="187"/>
      <c r="I441" s="187"/>
      <c r="J441" s="187"/>
      <c r="K441" s="187"/>
    </row>
    <row r="442" ht="16.5" customHeight="1">
      <c r="A442" s="234"/>
      <c r="B442" s="235"/>
      <c r="C442" s="225"/>
      <c r="D442" s="226"/>
      <c r="E442" s="263"/>
      <c r="F442" s="194"/>
      <c r="G442" s="194"/>
      <c r="H442" s="194"/>
      <c r="I442" s="194"/>
      <c r="J442" s="194"/>
      <c r="K442" s="194"/>
    </row>
    <row r="443" ht="16.5" customHeight="1">
      <c r="A443" s="233"/>
      <c r="B443" s="74"/>
      <c r="C443" s="220"/>
      <c r="D443" s="221"/>
      <c r="E443" s="236"/>
      <c r="F443" s="187"/>
      <c r="G443" s="187"/>
      <c r="H443" s="187"/>
      <c r="I443" s="187"/>
      <c r="J443" s="187"/>
      <c r="K443" s="187"/>
    </row>
    <row r="444" ht="16.5" customHeight="1">
      <c r="A444" s="234"/>
      <c r="B444" s="235"/>
      <c r="C444" s="225"/>
      <c r="D444" s="226"/>
      <c r="E444" s="263"/>
      <c r="F444" s="194"/>
      <c r="G444" s="194"/>
      <c r="H444" s="194"/>
      <c r="I444" s="194"/>
      <c r="J444" s="194"/>
      <c r="K444" s="194"/>
    </row>
    <row r="445" ht="16.5" customHeight="1">
      <c r="A445" s="233"/>
      <c r="B445" s="74"/>
      <c r="C445" s="220"/>
      <c r="D445" s="221"/>
      <c r="E445" s="236"/>
      <c r="F445" s="187"/>
      <c r="G445" s="187"/>
      <c r="H445" s="187"/>
      <c r="I445" s="187"/>
      <c r="J445" s="187"/>
      <c r="K445" s="187"/>
    </row>
    <row r="446" ht="16.5" customHeight="1">
      <c r="A446" s="234"/>
      <c r="B446" s="235"/>
      <c r="C446" s="225"/>
      <c r="D446" s="226"/>
      <c r="E446" s="263"/>
      <c r="F446" s="194"/>
      <c r="G446" s="194"/>
      <c r="H446" s="194"/>
      <c r="I446" s="194"/>
      <c r="J446" s="194"/>
      <c r="K446" s="194"/>
    </row>
    <row r="447" ht="16.5" customHeight="1">
      <c r="A447" s="233"/>
      <c r="B447" s="74"/>
      <c r="C447" s="220"/>
      <c r="D447" s="221"/>
      <c r="E447" s="236"/>
      <c r="F447" s="187"/>
      <c r="G447" s="187"/>
      <c r="H447" s="187"/>
      <c r="I447" s="187"/>
      <c r="J447" s="187"/>
      <c r="K447" s="187"/>
    </row>
    <row r="448" ht="16.5" customHeight="1">
      <c r="A448" s="234"/>
      <c r="B448" s="235"/>
      <c r="C448" s="225"/>
      <c r="D448" s="226"/>
      <c r="E448" s="263"/>
      <c r="F448" s="194"/>
      <c r="G448" s="194"/>
      <c r="H448" s="194"/>
      <c r="I448" s="194"/>
      <c r="J448" s="194"/>
      <c r="K448" s="194"/>
    </row>
    <row r="449" ht="16.5" customHeight="1">
      <c r="A449" s="233"/>
      <c r="B449" s="74"/>
      <c r="C449" s="220"/>
      <c r="D449" s="221"/>
      <c r="E449" s="236"/>
      <c r="F449" s="187"/>
      <c r="G449" s="187"/>
      <c r="H449" s="187"/>
      <c r="I449" s="187"/>
      <c r="J449" s="187"/>
      <c r="K449" s="187"/>
    </row>
    <row r="450" ht="16.5" customHeight="1">
      <c r="A450" s="234"/>
      <c r="B450" s="235"/>
      <c r="C450" s="225"/>
      <c r="D450" s="226"/>
      <c r="E450" s="263"/>
      <c r="F450" s="194"/>
      <c r="G450" s="194"/>
      <c r="H450" s="194"/>
      <c r="I450" s="194"/>
      <c r="J450" s="194"/>
      <c r="K450" s="194"/>
    </row>
    <row r="451" ht="16.5" customHeight="1">
      <c r="A451" s="233"/>
      <c r="B451" s="74"/>
      <c r="C451" s="220"/>
      <c r="D451" s="221"/>
      <c r="E451" s="236"/>
      <c r="F451" s="187"/>
      <c r="G451" s="187"/>
      <c r="H451" s="187"/>
      <c r="I451" s="187"/>
      <c r="J451" s="187"/>
      <c r="K451" s="187"/>
    </row>
    <row r="452" ht="16.5" customHeight="1">
      <c r="A452" s="234"/>
      <c r="B452" s="235"/>
      <c r="C452" s="225"/>
      <c r="D452" s="226"/>
      <c r="E452" s="263"/>
      <c r="F452" s="194"/>
      <c r="G452" s="194"/>
      <c r="H452" s="194"/>
      <c r="I452" s="194"/>
      <c r="J452" s="194"/>
      <c r="K452" s="194"/>
    </row>
    <row r="453" ht="16.5" customHeight="1">
      <c r="A453" s="233"/>
      <c r="B453" s="74"/>
      <c r="C453" s="220"/>
      <c r="D453" s="221"/>
      <c r="E453" s="236"/>
      <c r="F453" s="187"/>
      <c r="G453" s="187"/>
      <c r="H453" s="187"/>
      <c r="I453" s="187"/>
      <c r="J453" s="187"/>
      <c r="K453" s="187"/>
    </row>
    <row r="454" ht="16.5" customHeight="1">
      <c r="A454" s="234"/>
      <c r="B454" s="235"/>
      <c r="C454" s="225"/>
      <c r="D454" s="226"/>
      <c r="E454" s="263"/>
      <c r="F454" s="194"/>
      <c r="G454" s="194"/>
      <c r="H454" s="194"/>
      <c r="I454" s="194"/>
      <c r="J454" s="194"/>
      <c r="K454" s="194"/>
    </row>
    <row r="455" ht="16.5" customHeight="1">
      <c r="A455" s="233"/>
      <c r="B455" s="74"/>
      <c r="C455" s="220"/>
      <c r="D455" s="221"/>
      <c r="E455" s="236"/>
      <c r="F455" s="187"/>
      <c r="G455" s="187"/>
      <c r="H455" s="187"/>
      <c r="I455" s="187"/>
      <c r="J455" s="187"/>
      <c r="K455" s="187"/>
    </row>
    <row r="456" ht="16.5" customHeight="1">
      <c r="A456" s="234"/>
      <c r="B456" s="235"/>
      <c r="C456" s="225"/>
      <c r="D456" s="226"/>
      <c r="E456" s="263"/>
      <c r="F456" s="194"/>
      <c r="G456" s="194"/>
      <c r="H456" s="194"/>
      <c r="I456" s="194"/>
      <c r="J456" s="194"/>
      <c r="K456" s="194"/>
    </row>
    <row r="457" ht="16.5" customHeight="1">
      <c r="A457" s="233"/>
      <c r="B457" s="74"/>
      <c r="C457" s="220"/>
      <c r="D457" s="221"/>
      <c r="E457" s="236"/>
      <c r="F457" s="187"/>
      <c r="G457" s="187"/>
      <c r="H457" s="187"/>
      <c r="I457" s="187"/>
      <c r="J457" s="187"/>
      <c r="K457" s="187"/>
    </row>
    <row r="458" ht="16.5" customHeight="1">
      <c r="A458" s="234"/>
      <c r="B458" s="235"/>
      <c r="C458" s="225"/>
      <c r="D458" s="226"/>
      <c r="E458" s="263"/>
      <c r="F458" s="194"/>
      <c r="G458" s="194"/>
      <c r="H458" s="194"/>
      <c r="I458" s="194"/>
      <c r="J458" s="194"/>
      <c r="K458" s="194"/>
    </row>
    <row r="459" ht="16.5" customHeight="1">
      <c r="A459" s="233"/>
      <c r="B459" s="74"/>
      <c r="C459" s="220"/>
      <c r="D459" s="221"/>
      <c r="E459" s="236"/>
      <c r="F459" s="187"/>
      <c r="G459" s="187"/>
      <c r="H459" s="187"/>
      <c r="I459" s="187"/>
      <c r="J459" s="187"/>
      <c r="K459" s="187"/>
    </row>
    <row r="460" ht="16.5" customHeight="1">
      <c r="A460" s="234"/>
      <c r="B460" s="235"/>
      <c r="C460" s="225"/>
      <c r="D460" s="226"/>
      <c r="E460" s="263"/>
      <c r="F460" s="194"/>
      <c r="G460" s="194"/>
      <c r="H460" s="194"/>
      <c r="I460" s="194"/>
      <c r="J460" s="194"/>
      <c r="K460" s="194"/>
    </row>
    <row r="461" ht="16.5" customHeight="1">
      <c r="A461" s="233"/>
      <c r="B461" s="74"/>
      <c r="C461" s="220"/>
      <c r="D461" s="221"/>
      <c r="E461" s="236"/>
      <c r="F461" s="187"/>
      <c r="G461" s="187"/>
      <c r="H461" s="187"/>
      <c r="I461" s="187"/>
      <c r="J461" s="187"/>
      <c r="K461" s="187"/>
    </row>
    <row r="462" ht="16.5" customHeight="1">
      <c r="A462" s="234"/>
      <c r="B462" s="235"/>
      <c r="C462" s="225"/>
      <c r="D462" s="226"/>
      <c r="E462" s="263"/>
      <c r="F462" s="194"/>
      <c r="G462" s="194"/>
      <c r="H462" s="194"/>
      <c r="I462" s="194"/>
      <c r="J462" s="194"/>
      <c r="K462" s="194"/>
    </row>
    <row r="463" ht="16.5" customHeight="1">
      <c r="A463" s="233"/>
      <c r="B463" s="74"/>
      <c r="C463" s="220"/>
      <c r="D463" s="221"/>
      <c r="E463" s="236"/>
      <c r="F463" s="187"/>
      <c r="G463" s="187"/>
      <c r="H463" s="187"/>
      <c r="I463" s="187"/>
      <c r="J463" s="187"/>
      <c r="K463" s="187"/>
    </row>
    <row r="464" ht="16.5" customHeight="1">
      <c r="A464" s="234"/>
      <c r="B464" s="235"/>
      <c r="C464" s="225"/>
      <c r="D464" s="226"/>
      <c r="E464" s="263"/>
      <c r="F464" s="194"/>
      <c r="G464" s="194"/>
      <c r="H464" s="194"/>
      <c r="I464" s="194"/>
      <c r="J464" s="194"/>
      <c r="K464" s="194"/>
    </row>
    <row r="465" ht="16.5" customHeight="1">
      <c r="A465" s="233"/>
      <c r="B465" s="74"/>
      <c r="C465" s="220"/>
      <c r="D465" s="221"/>
      <c r="E465" s="236"/>
      <c r="F465" s="187"/>
      <c r="G465" s="187"/>
      <c r="H465" s="187"/>
      <c r="I465" s="187"/>
      <c r="J465" s="187"/>
      <c r="K465" s="187"/>
    </row>
    <row r="466" ht="16.5" customHeight="1">
      <c r="A466" s="234"/>
      <c r="B466" s="235"/>
      <c r="C466" s="225"/>
      <c r="D466" s="226"/>
      <c r="E466" s="263"/>
      <c r="F466" s="194"/>
      <c r="G466" s="194"/>
      <c r="H466" s="194"/>
      <c r="I466" s="194"/>
      <c r="J466" s="194"/>
      <c r="K466" s="194"/>
    </row>
    <row r="467" ht="16.5" customHeight="1">
      <c r="A467" s="233"/>
      <c r="B467" s="74"/>
      <c r="C467" s="220"/>
      <c r="D467" s="221"/>
      <c r="E467" s="236"/>
      <c r="F467" s="187"/>
      <c r="G467" s="187"/>
      <c r="H467" s="187"/>
      <c r="I467" s="187"/>
      <c r="J467" s="187"/>
      <c r="K467" s="187"/>
    </row>
    <row r="468" ht="16.5" customHeight="1">
      <c r="A468" s="234"/>
      <c r="B468" s="235"/>
      <c r="C468" s="225"/>
      <c r="D468" s="226"/>
      <c r="E468" s="263"/>
      <c r="F468" s="194"/>
      <c r="G468" s="194"/>
      <c r="H468" s="194"/>
      <c r="I468" s="194"/>
      <c r="J468" s="194"/>
      <c r="K468" s="194"/>
    </row>
    <row r="469" ht="16.5" customHeight="1">
      <c r="A469" s="233"/>
      <c r="B469" s="74"/>
      <c r="C469" s="220"/>
      <c r="D469" s="221"/>
      <c r="E469" s="236"/>
      <c r="F469" s="187"/>
      <c r="G469" s="187"/>
      <c r="H469" s="187"/>
      <c r="I469" s="187"/>
      <c r="J469" s="187"/>
      <c r="K469" s="187"/>
    </row>
    <row r="470" ht="16.5" customHeight="1">
      <c r="A470" s="234"/>
      <c r="B470" s="235"/>
      <c r="C470" s="225"/>
      <c r="D470" s="226"/>
      <c r="E470" s="263"/>
      <c r="F470" s="194"/>
      <c r="G470" s="194"/>
      <c r="H470" s="194"/>
      <c r="I470" s="194"/>
      <c r="J470" s="194"/>
      <c r="K470" s="194"/>
    </row>
    <row r="471" ht="16.5" customHeight="1">
      <c r="A471" s="233"/>
      <c r="B471" s="74"/>
      <c r="C471" s="220"/>
      <c r="D471" s="221"/>
      <c r="E471" s="236"/>
      <c r="F471" s="187"/>
      <c r="G471" s="187"/>
      <c r="H471" s="187"/>
      <c r="I471" s="187"/>
      <c r="J471" s="187"/>
      <c r="K471" s="187"/>
    </row>
    <row r="472" ht="16.5" customHeight="1">
      <c r="A472" s="234"/>
      <c r="B472" s="235"/>
      <c r="C472" s="225"/>
      <c r="D472" s="226"/>
      <c r="E472" s="263"/>
      <c r="F472" s="194"/>
      <c r="G472" s="194"/>
      <c r="H472" s="194"/>
      <c r="I472" s="194"/>
      <c r="J472" s="194"/>
      <c r="K472" s="194"/>
    </row>
    <row r="473" ht="16.5" customHeight="1">
      <c r="A473" s="233"/>
      <c r="B473" s="74"/>
      <c r="C473" s="220"/>
      <c r="D473" s="221"/>
      <c r="E473" s="236"/>
      <c r="F473" s="187"/>
      <c r="G473" s="187"/>
      <c r="H473" s="187"/>
      <c r="I473" s="187"/>
      <c r="J473" s="187"/>
      <c r="K473" s="187"/>
    </row>
    <row r="474" ht="16.5" customHeight="1">
      <c r="A474" s="234"/>
      <c r="B474" s="235"/>
      <c r="C474" s="225"/>
      <c r="D474" s="226"/>
      <c r="E474" s="263"/>
      <c r="F474" s="194"/>
      <c r="G474" s="194"/>
      <c r="H474" s="194"/>
      <c r="I474" s="194"/>
      <c r="J474" s="194"/>
      <c r="K474" s="194"/>
    </row>
    <row r="475" ht="16.5" customHeight="1">
      <c r="A475" s="233"/>
      <c r="B475" s="74"/>
      <c r="C475" s="220"/>
      <c r="D475" s="221"/>
      <c r="E475" s="236"/>
      <c r="F475" s="187"/>
      <c r="G475" s="187"/>
      <c r="H475" s="187"/>
      <c r="I475" s="187"/>
      <c r="J475" s="187"/>
      <c r="K475" s="187"/>
    </row>
    <row r="476" ht="16.5" customHeight="1">
      <c r="A476" s="234"/>
      <c r="B476" s="235"/>
      <c r="C476" s="225"/>
      <c r="D476" s="226"/>
      <c r="E476" s="263"/>
      <c r="F476" s="194"/>
      <c r="G476" s="194"/>
      <c r="H476" s="194"/>
      <c r="I476" s="194"/>
      <c r="J476" s="194"/>
      <c r="K476" s="194"/>
    </row>
    <row r="477" ht="16.5" customHeight="1">
      <c r="A477" s="233"/>
      <c r="B477" s="74"/>
      <c r="C477" s="220"/>
      <c r="D477" s="221"/>
      <c r="E477" s="236"/>
      <c r="F477" s="187"/>
      <c r="G477" s="187"/>
      <c r="H477" s="187"/>
      <c r="I477" s="187"/>
      <c r="J477" s="187"/>
      <c r="K477" s="187"/>
    </row>
    <row r="478" ht="16.5" customHeight="1">
      <c r="A478" s="234"/>
      <c r="B478" s="235"/>
      <c r="C478" s="225"/>
      <c r="D478" s="226"/>
      <c r="E478" s="263"/>
      <c r="F478" s="194"/>
      <c r="G478" s="194"/>
      <c r="H478" s="194"/>
      <c r="I478" s="194"/>
      <c r="J478" s="194"/>
      <c r="K478" s="194"/>
    </row>
    <row r="479" ht="16.5" customHeight="1">
      <c r="A479" s="233"/>
      <c r="B479" s="74"/>
      <c r="C479" s="220"/>
      <c r="D479" s="221"/>
      <c r="E479" s="236"/>
      <c r="F479" s="187"/>
      <c r="G479" s="187"/>
      <c r="H479" s="187"/>
      <c r="I479" s="187"/>
      <c r="J479" s="187"/>
      <c r="K479" s="187"/>
    </row>
    <row r="480" ht="16.5" customHeight="1">
      <c r="A480" s="234"/>
      <c r="B480" s="235"/>
      <c r="C480" s="225"/>
      <c r="D480" s="226"/>
      <c r="E480" s="263"/>
      <c r="F480" s="194"/>
      <c r="G480" s="194"/>
      <c r="H480" s="194"/>
      <c r="I480" s="194"/>
      <c r="J480" s="194"/>
      <c r="K480" s="194"/>
    </row>
    <row r="481" ht="16.5" customHeight="1">
      <c r="A481" s="233"/>
      <c r="B481" s="74"/>
      <c r="C481" s="220"/>
      <c r="D481" s="221"/>
      <c r="E481" s="236"/>
      <c r="F481" s="187"/>
      <c r="G481" s="187"/>
      <c r="H481" s="187"/>
      <c r="I481" s="187"/>
      <c r="J481" s="187"/>
      <c r="K481" s="187"/>
    </row>
    <row r="482" ht="16.5" customHeight="1">
      <c r="A482" s="234"/>
      <c r="B482" s="235"/>
      <c r="C482" s="225"/>
      <c r="D482" s="226"/>
      <c r="E482" s="263"/>
      <c r="F482" s="194"/>
      <c r="G482" s="194"/>
      <c r="H482" s="194"/>
      <c r="I482" s="194"/>
      <c r="J482" s="194"/>
      <c r="K482" s="194"/>
    </row>
    <row r="483" ht="16.5" customHeight="1">
      <c r="A483" s="233"/>
      <c r="B483" s="74"/>
      <c r="C483" s="220"/>
      <c r="D483" s="221"/>
      <c r="E483" s="236"/>
      <c r="F483" s="187"/>
      <c r="G483" s="187"/>
      <c r="H483" s="187"/>
      <c r="I483" s="187"/>
      <c r="J483" s="187"/>
      <c r="K483" s="187"/>
    </row>
    <row r="484" ht="16.5" customHeight="1">
      <c r="A484" s="234"/>
      <c r="B484" s="235"/>
      <c r="C484" s="225"/>
      <c r="D484" s="226"/>
      <c r="E484" s="263"/>
      <c r="F484" s="194"/>
      <c r="G484" s="194"/>
      <c r="H484" s="194"/>
      <c r="I484" s="194"/>
      <c r="J484" s="194"/>
      <c r="K484" s="194"/>
    </row>
    <row r="485" ht="16.5" customHeight="1">
      <c r="A485" s="233"/>
      <c r="B485" s="74"/>
      <c r="C485" s="220"/>
      <c r="D485" s="221"/>
      <c r="E485" s="236"/>
      <c r="F485" s="187"/>
      <c r="G485" s="187"/>
      <c r="H485" s="187"/>
      <c r="I485" s="187"/>
      <c r="J485" s="187"/>
      <c r="K485" s="187"/>
    </row>
    <row r="486" ht="16.5" customHeight="1">
      <c r="A486" s="234"/>
      <c r="B486" s="235"/>
      <c r="C486" s="225"/>
      <c r="D486" s="226"/>
      <c r="E486" s="263"/>
      <c r="F486" s="194"/>
      <c r="G486" s="194"/>
      <c r="H486" s="194"/>
      <c r="I486" s="194"/>
      <c r="J486" s="194"/>
      <c r="K486" s="194"/>
    </row>
    <row r="487" ht="16.5" customHeight="1">
      <c r="A487" s="233"/>
      <c r="B487" s="74"/>
      <c r="C487" s="220"/>
      <c r="D487" s="221"/>
      <c r="E487" s="236"/>
      <c r="F487" s="187"/>
      <c r="G487" s="187"/>
      <c r="H487" s="187"/>
      <c r="I487" s="187"/>
      <c r="J487" s="187"/>
      <c r="K487" s="187"/>
    </row>
    <row r="488" ht="16.5" customHeight="1">
      <c r="A488" s="234"/>
      <c r="B488" s="235"/>
      <c r="C488" s="225"/>
      <c r="D488" s="226"/>
      <c r="E488" s="263"/>
      <c r="F488" s="194"/>
      <c r="G488" s="194"/>
      <c r="H488" s="194"/>
      <c r="I488" s="194"/>
      <c r="J488" s="194"/>
      <c r="K488" s="194"/>
    </row>
    <row r="489" ht="16.5" customHeight="1">
      <c r="A489" s="233"/>
      <c r="B489" s="74"/>
      <c r="C489" s="220"/>
      <c r="D489" s="221"/>
      <c r="E489" s="236"/>
      <c r="F489" s="187"/>
      <c r="G489" s="187"/>
      <c r="H489" s="187"/>
      <c r="I489" s="187"/>
      <c r="J489" s="187"/>
      <c r="K489" s="187"/>
    </row>
    <row r="490" ht="16.5" customHeight="1">
      <c r="A490" s="234"/>
      <c r="B490" s="235"/>
      <c r="C490" s="225"/>
      <c r="D490" s="226"/>
      <c r="E490" s="263"/>
      <c r="F490" s="194"/>
      <c r="G490" s="194"/>
      <c r="H490" s="194"/>
      <c r="I490" s="194"/>
      <c r="J490" s="194"/>
      <c r="K490" s="194"/>
    </row>
    <row r="491" ht="16.5" customHeight="1">
      <c r="A491" s="233"/>
      <c r="B491" s="74"/>
      <c r="C491" s="220"/>
      <c r="D491" s="221"/>
      <c r="E491" s="236"/>
      <c r="F491" s="187"/>
      <c r="G491" s="187"/>
      <c r="H491" s="187"/>
      <c r="I491" s="187"/>
      <c r="J491" s="187"/>
      <c r="K491" s="187"/>
    </row>
    <row r="492" ht="16.5" customHeight="1">
      <c r="A492" s="234"/>
      <c r="B492" s="235"/>
      <c r="C492" s="225"/>
      <c r="D492" s="226"/>
      <c r="E492" s="263"/>
      <c r="F492" s="194"/>
      <c r="G492" s="194"/>
      <c r="H492" s="194"/>
      <c r="I492" s="194"/>
      <c r="J492" s="194"/>
      <c r="K492" s="194"/>
    </row>
    <row r="493" ht="16.5" customHeight="1">
      <c r="A493" s="233"/>
      <c r="B493" s="74"/>
      <c r="C493" s="220"/>
      <c r="D493" s="221"/>
      <c r="E493" s="236"/>
      <c r="F493" s="187"/>
      <c r="G493" s="187"/>
      <c r="H493" s="187"/>
      <c r="I493" s="187"/>
      <c r="J493" s="187"/>
      <c r="K493" s="187"/>
    </row>
    <row r="494" ht="16.5" customHeight="1">
      <c r="A494" s="234"/>
      <c r="B494" s="235"/>
      <c r="C494" s="225"/>
      <c r="D494" s="226"/>
      <c r="E494" s="263"/>
      <c r="F494" s="194"/>
      <c r="G494" s="194"/>
      <c r="H494" s="194"/>
      <c r="I494" s="194"/>
      <c r="J494" s="194"/>
      <c r="K494" s="194"/>
    </row>
    <row r="495" ht="16.5" customHeight="1">
      <c r="A495" s="233"/>
      <c r="B495" s="74"/>
      <c r="C495" s="220"/>
      <c r="D495" s="221"/>
      <c r="E495" s="236"/>
      <c r="F495" s="187"/>
      <c r="G495" s="187"/>
      <c r="H495" s="187"/>
      <c r="I495" s="187"/>
      <c r="J495" s="187"/>
      <c r="K495" s="187"/>
    </row>
    <row r="496" ht="16.5" customHeight="1">
      <c r="A496" s="234"/>
      <c r="B496" s="235"/>
      <c r="C496" s="225"/>
      <c r="D496" s="226"/>
      <c r="E496" s="263"/>
      <c r="F496" s="194"/>
      <c r="G496" s="194"/>
      <c r="H496" s="194"/>
      <c r="I496" s="194"/>
      <c r="J496" s="194"/>
      <c r="K496" s="194"/>
    </row>
    <row r="497" ht="16.5" customHeight="1">
      <c r="A497" s="233"/>
      <c r="B497" s="74"/>
      <c r="C497" s="220"/>
      <c r="D497" s="221"/>
      <c r="E497" s="236"/>
      <c r="F497" s="187"/>
      <c r="G497" s="187"/>
      <c r="H497" s="187"/>
      <c r="I497" s="187"/>
      <c r="J497" s="187"/>
      <c r="K497" s="187"/>
    </row>
    <row r="498" ht="16.5" customHeight="1">
      <c r="A498" s="234"/>
      <c r="B498" s="235"/>
      <c r="C498" s="225"/>
      <c r="D498" s="226"/>
      <c r="E498" s="263"/>
      <c r="F498" s="194"/>
      <c r="G498" s="194"/>
      <c r="H498" s="194"/>
      <c r="I498" s="194"/>
      <c r="J498" s="194"/>
      <c r="K498" s="194"/>
    </row>
    <row r="499" ht="16.5" customHeight="1">
      <c r="A499" s="233"/>
      <c r="B499" s="74"/>
      <c r="C499" s="220"/>
      <c r="D499" s="221"/>
      <c r="E499" s="236"/>
      <c r="F499" s="187"/>
      <c r="G499" s="187"/>
      <c r="H499" s="187"/>
      <c r="I499" s="187"/>
      <c r="J499" s="187"/>
      <c r="K499" s="187"/>
    </row>
    <row r="500" ht="16.5" customHeight="1">
      <c r="A500" s="234"/>
      <c r="B500" s="235"/>
      <c r="C500" s="225"/>
      <c r="D500" s="226"/>
      <c r="E500" s="263"/>
      <c r="F500" s="194"/>
      <c r="G500" s="194"/>
      <c r="H500" s="194"/>
      <c r="I500" s="194"/>
      <c r="J500" s="194"/>
      <c r="K500" s="194"/>
    </row>
    <row r="501" ht="16.5" customHeight="1">
      <c r="A501" s="233"/>
      <c r="B501" s="74"/>
      <c r="C501" s="220"/>
      <c r="D501" s="221"/>
      <c r="E501" s="236"/>
      <c r="F501" s="187"/>
      <c r="G501" s="187"/>
      <c r="H501" s="187"/>
      <c r="I501" s="187"/>
      <c r="J501" s="187"/>
      <c r="K501" s="187"/>
    </row>
    <row r="502" ht="16.5" customHeight="1">
      <c r="A502" s="234"/>
      <c r="B502" s="235"/>
      <c r="C502" s="225"/>
      <c r="D502" s="226"/>
      <c r="E502" s="263"/>
      <c r="F502" s="194"/>
      <c r="G502" s="194"/>
      <c r="H502" s="194"/>
      <c r="I502" s="194"/>
      <c r="J502" s="194"/>
      <c r="K502" s="194"/>
    </row>
    <row r="503" ht="16.5" customHeight="1">
      <c r="A503" s="233"/>
      <c r="B503" s="74"/>
      <c r="C503" s="220"/>
      <c r="D503" s="221"/>
      <c r="E503" s="236"/>
      <c r="F503" s="187"/>
      <c r="G503" s="187"/>
      <c r="H503" s="187"/>
      <c r="I503" s="187"/>
      <c r="J503" s="187"/>
      <c r="K503" s="187"/>
    </row>
    <row r="504" ht="16.5" customHeight="1">
      <c r="A504" s="234"/>
      <c r="B504" s="235"/>
      <c r="C504" s="225"/>
      <c r="D504" s="226"/>
      <c r="E504" s="263"/>
      <c r="F504" s="194"/>
      <c r="G504" s="194"/>
      <c r="H504" s="194"/>
      <c r="I504" s="194"/>
      <c r="J504" s="194"/>
      <c r="K504" s="194"/>
    </row>
    <row r="505" ht="16.5" customHeight="1">
      <c r="A505" s="233"/>
      <c r="B505" s="74"/>
      <c r="C505" s="220"/>
      <c r="D505" s="221"/>
      <c r="E505" s="236"/>
      <c r="F505" s="187"/>
      <c r="G505" s="187"/>
      <c r="H505" s="187"/>
      <c r="I505" s="187"/>
      <c r="J505" s="187"/>
      <c r="K505" s="187"/>
    </row>
    <row r="506" ht="16.5" customHeight="1">
      <c r="A506" s="234"/>
      <c r="B506" s="235"/>
      <c r="C506" s="225"/>
      <c r="D506" s="226"/>
      <c r="E506" s="263"/>
      <c r="F506" s="194"/>
      <c r="G506" s="194"/>
      <c r="H506" s="194"/>
      <c r="I506" s="194"/>
      <c r="J506" s="194"/>
      <c r="K506" s="194"/>
    </row>
    <row r="507" ht="16.5" customHeight="1">
      <c r="A507" s="233"/>
      <c r="B507" s="74"/>
      <c r="C507" s="220"/>
      <c r="D507" s="221"/>
      <c r="E507" s="236"/>
      <c r="F507" s="187"/>
      <c r="G507" s="187"/>
      <c r="H507" s="187"/>
      <c r="I507" s="187"/>
      <c r="J507" s="187"/>
      <c r="K507" s="187"/>
    </row>
    <row r="508" ht="16.5" customHeight="1">
      <c r="A508" s="234"/>
      <c r="B508" s="235"/>
      <c r="C508" s="225"/>
      <c r="D508" s="226"/>
      <c r="E508" s="263"/>
      <c r="F508" s="194"/>
      <c r="G508" s="194"/>
      <c r="H508" s="194"/>
      <c r="I508" s="194"/>
      <c r="J508" s="194"/>
      <c r="K508" s="194"/>
    </row>
    <row r="509" ht="16.5" customHeight="1">
      <c r="A509" s="233"/>
      <c r="B509" s="74"/>
      <c r="C509" s="220"/>
      <c r="D509" s="221"/>
      <c r="E509" s="236"/>
      <c r="F509" s="187"/>
      <c r="G509" s="187"/>
      <c r="H509" s="187"/>
      <c r="I509" s="187"/>
      <c r="J509" s="187"/>
      <c r="K509" s="187"/>
    </row>
    <row r="510" ht="16.5" customHeight="1">
      <c r="A510" s="234"/>
      <c r="B510" s="235"/>
      <c r="C510" s="225"/>
      <c r="D510" s="226"/>
      <c r="E510" s="263"/>
      <c r="F510" s="194"/>
      <c r="G510" s="194"/>
      <c r="H510" s="194"/>
      <c r="I510" s="194"/>
      <c r="J510" s="194"/>
      <c r="K510" s="194"/>
    </row>
    <row r="511" ht="16.5" customHeight="1">
      <c r="A511" s="233"/>
      <c r="B511" s="74"/>
      <c r="C511" s="220"/>
      <c r="D511" s="221"/>
      <c r="E511" s="236"/>
      <c r="F511" s="187"/>
      <c r="G511" s="187"/>
      <c r="H511" s="187"/>
      <c r="I511" s="187"/>
      <c r="J511" s="187"/>
      <c r="K511" s="187"/>
    </row>
    <row r="512" ht="16.5" customHeight="1">
      <c r="A512" s="234"/>
      <c r="B512" s="235"/>
      <c r="C512" s="225"/>
      <c r="D512" s="226"/>
      <c r="E512" s="263"/>
      <c r="F512" s="194"/>
      <c r="G512" s="194"/>
      <c r="H512" s="194"/>
      <c r="I512" s="194"/>
      <c r="J512" s="194"/>
      <c r="K512" s="194"/>
    </row>
    <row r="513" ht="16.5" customHeight="1">
      <c r="A513" s="233"/>
      <c r="B513" s="74"/>
      <c r="C513" s="220"/>
      <c r="D513" s="221"/>
      <c r="E513" s="236"/>
      <c r="F513" s="187"/>
      <c r="G513" s="187"/>
      <c r="H513" s="187"/>
      <c r="I513" s="187"/>
      <c r="J513" s="187"/>
      <c r="K513" s="187"/>
    </row>
    <row r="514" ht="16.5" customHeight="1">
      <c r="A514" s="234"/>
      <c r="B514" s="235"/>
      <c r="C514" s="225"/>
      <c r="D514" s="226"/>
      <c r="E514" s="263"/>
      <c r="F514" s="194"/>
      <c r="G514" s="194"/>
      <c r="H514" s="194"/>
      <c r="I514" s="194"/>
      <c r="J514" s="194"/>
      <c r="K514" s="194"/>
    </row>
    <row r="515" ht="16.5" customHeight="1">
      <c r="A515" s="233"/>
      <c r="B515" s="74"/>
      <c r="C515" s="220"/>
      <c r="D515" s="221"/>
      <c r="E515" s="236"/>
      <c r="F515" s="187"/>
      <c r="G515" s="187"/>
      <c r="H515" s="187"/>
      <c r="I515" s="187"/>
      <c r="J515" s="187"/>
      <c r="K515" s="187"/>
    </row>
    <row r="516" ht="16.5" customHeight="1">
      <c r="A516" s="234"/>
      <c r="B516" s="235"/>
      <c r="C516" s="225"/>
      <c r="D516" s="226"/>
      <c r="E516" s="263"/>
      <c r="F516" s="194"/>
      <c r="G516" s="194"/>
      <c r="H516" s="194"/>
      <c r="I516" s="194"/>
      <c r="J516" s="194"/>
      <c r="K516" s="194"/>
    </row>
    <row r="517" ht="16.5" customHeight="1">
      <c r="A517" s="233"/>
      <c r="B517" s="74"/>
      <c r="C517" s="220"/>
      <c r="D517" s="221"/>
      <c r="E517" s="236"/>
      <c r="F517" s="187"/>
      <c r="G517" s="187"/>
      <c r="H517" s="187"/>
      <c r="I517" s="187"/>
      <c r="J517" s="187"/>
      <c r="K517" s="187"/>
    </row>
    <row r="518" ht="16.5" customHeight="1">
      <c r="A518" s="234"/>
      <c r="B518" s="235"/>
      <c r="C518" s="225"/>
      <c r="D518" s="226"/>
      <c r="E518" s="263"/>
      <c r="F518" s="194"/>
      <c r="G518" s="194"/>
      <c r="H518" s="194"/>
      <c r="I518" s="194"/>
      <c r="J518" s="194"/>
      <c r="K518" s="194"/>
    </row>
    <row r="519" ht="16.5" customHeight="1">
      <c r="A519" s="233"/>
      <c r="B519" s="74"/>
      <c r="C519" s="220"/>
      <c r="D519" s="221"/>
      <c r="E519" s="236"/>
      <c r="F519" s="187"/>
      <c r="G519" s="187"/>
      <c r="H519" s="187"/>
      <c r="I519" s="187"/>
      <c r="J519" s="187"/>
      <c r="K519" s="187"/>
    </row>
    <row r="520" ht="16.5" customHeight="1">
      <c r="A520" s="234"/>
      <c r="B520" s="235"/>
      <c r="C520" s="225"/>
      <c r="D520" s="226"/>
      <c r="E520" s="263"/>
      <c r="F520" s="194"/>
      <c r="G520" s="194"/>
      <c r="H520" s="194"/>
      <c r="I520" s="194"/>
      <c r="J520" s="194"/>
      <c r="K520" s="194"/>
    </row>
    <row r="521" ht="16.5" customHeight="1">
      <c r="A521" s="233"/>
      <c r="B521" s="74"/>
      <c r="C521" s="220"/>
      <c r="D521" s="221"/>
      <c r="E521" s="236"/>
      <c r="F521" s="187"/>
      <c r="G521" s="187"/>
      <c r="H521" s="187"/>
      <c r="I521" s="187"/>
      <c r="J521" s="187"/>
      <c r="K521" s="187"/>
    </row>
    <row r="522" ht="16.5" customHeight="1">
      <c r="A522" s="234"/>
      <c r="B522" s="235"/>
      <c r="C522" s="225"/>
      <c r="D522" s="226"/>
      <c r="E522" s="263"/>
      <c r="F522" s="194"/>
      <c r="G522" s="194"/>
      <c r="H522" s="194"/>
      <c r="I522" s="194"/>
      <c r="J522" s="194"/>
      <c r="K522" s="194"/>
    </row>
    <row r="523" ht="16.5" customHeight="1">
      <c r="A523" s="233"/>
      <c r="B523" s="74"/>
      <c r="C523" s="220"/>
      <c r="D523" s="221"/>
      <c r="E523" s="236"/>
      <c r="F523" s="187"/>
      <c r="G523" s="187"/>
      <c r="H523" s="187"/>
      <c r="I523" s="187"/>
      <c r="J523" s="187"/>
      <c r="K523" s="187"/>
    </row>
    <row r="524" ht="16.5" customHeight="1">
      <c r="A524" s="234"/>
      <c r="B524" s="235"/>
      <c r="C524" s="225"/>
      <c r="D524" s="226"/>
      <c r="E524" s="263"/>
      <c r="F524" s="194"/>
      <c r="G524" s="194"/>
      <c r="H524" s="194"/>
      <c r="I524" s="194"/>
      <c r="J524" s="194"/>
      <c r="K524" s="194"/>
    </row>
    <row r="525" ht="16.5" customHeight="1">
      <c r="A525" s="233"/>
      <c r="B525" s="74"/>
      <c r="C525" s="220"/>
      <c r="D525" s="221"/>
      <c r="E525" s="236"/>
      <c r="F525" s="187"/>
      <c r="G525" s="187"/>
      <c r="H525" s="187"/>
      <c r="I525" s="187"/>
      <c r="J525" s="187"/>
      <c r="K525" s="187"/>
    </row>
    <row r="526" ht="16.5" customHeight="1">
      <c r="A526" s="234"/>
      <c r="B526" s="235"/>
      <c r="C526" s="225"/>
      <c r="D526" s="226"/>
      <c r="E526" s="263"/>
      <c r="F526" s="194"/>
      <c r="G526" s="194"/>
      <c r="H526" s="194"/>
      <c r="I526" s="194"/>
      <c r="J526" s="194"/>
      <c r="K526" s="194"/>
    </row>
    <row r="527" ht="16.5" customHeight="1">
      <c r="A527" s="233"/>
      <c r="B527" s="74"/>
      <c r="C527" s="220"/>
      <c r="D527" s="221"/>
      <c r="E527" s="236"/>
      <c r="F527" s="187"/>
      <c r="G527" s="187"/>
      <c r="H527" s="187"/>
      <c r="I527" s="187"/>
      <c r="J527" s="187"/>
      <c r="K527" s="187"/>
    </row>
    <row r="528" ht="16.5" customHeight="1">
      <c r="A528" s="234"/>
      <c r="B528" s="235"/>
      <c r="C528" s="225"/>
      <c r="D528" s="226"/>
      <c r="E528" s="263"/>
      <c r="F528" s="194"/>
      <c r="G528" s="194"/>
      <c r="H528" s="194"/>
      <c r="I528" s="194"/>
      <c r="J528" s="194"/>
      <c r="K528" s="194"/>
    </row>
    <row r="529" ht="16.5" customHeight="1">
      <c r="A529" s="233"/>
      <c r="B529" s="74"/>
      <c r="C529" s="220"/>
      <c r="D529" s="221"/>
      <c r="E529" s="236"/>
      <c r="F529" s="187"/>
      <c r="G529" s="187"/>
      <c r="H529" s="187"/>
      <c r="I529" s="187"/>
      <c r="J529" s="187"/>
      <c r="K529" s="187"/>
    </row>
    <row r="530" ht="16.5" customHeight="1">
      <c r="A530" s="234"/>
      <c r="B530" s="235"/>
      <c r="C530" s="225"/>
      <c r="D530" s="226"/>
      <c r="E530" s="263"/>
      <c r="F530" s="194"/>
      <c r="G530" s="194"/>
      <c r="H530" s="194"/>
      <c r="I530" s="194"/>
      <c r="J530" s="194"/>
      <c r="K530" s="194"/>
    </row>
    <row r="531" ht="16.5" customHeight="1">
      <c r="A531" s="233"/>
      <c r="B531" s="74"/>
      <c r="C531" s="220"/>
      <c r="D531" s="221"/>
      <c r="E531" s="236"/>
      <c r="F531" s="187"/>
      <c r="G531" s="187"/>
      <c r="H531" s="187"/>
      <c r="I531" s="187"/>
      <c r="J531" s="187"/>
      <c r="K531" s="187"/>
    </row>
    <row r="532" ht="16.5" customHeight="1">
      <c r="A532" s="234"/>
      <c r="B532" s="235"/>
      <c r="C532" s="225"/>
      <c r="D532" s="226"/>
      <c r="E532" s="263"/>
      <c r="F532" s="194"/>
      <c r="G532" s="194"/>
      <c r="H532" s="194"/>
      <c r="I532" s="194"/>
      <c r="J532" s="194"/>
      <c r="K532" s="194"/>
    </row>
    <row r="533" ht="16.5" customHeight="1">
      <c r="A533" s="233"/>
      <c r="B533" s="74"/>
      <c r="C533" s="220"/>
      <c r="D533" s="221"/>
      <c r="E533" s="236"/>
      <c r="F533" s="187"/>
      <c r="G533" s="187"/>
      <c r="H533" s="187"/>
      <c r="I533" s="187"/>
      <c r="J533" s="187"/>
      <c r="K533" s="187"/>
    </row>
    <row r="534" ht="16.5" customHeight="1">
      <c r="A534" s="234"/>
      <c r="B534" s="235"/>
      <c r="C534" s="225"/>
      <c r="D534" s="226"/>
      <c r="E534" s="263"/>
      <c r="F534" s="194"/>
      <c r="G534" s="194"/>
      <c r="H534" s="194"/>
      <c r="I534" s="194"/>
      <c r="J534" s="194"/>
      <c r="K534" s="194"/>
    </row>
    <row r="535" ht="16.5" customHeight="1">
      <c r="A535" s="233"/>
      <c r="B535" s="74"/>
      <c r="C535" s="220"/>
      <c r="D535" s="221"/>
      <c r="E535" s="236"/>
      <c r="F535" s="187"/>
      <c r="G535" s="187"/>
      <c r="H535" s="187"/>
      <c r="I535" s="187"/>
      <c r="J535" s="187"/>
      <c r="K535" s="187"/>
    </row>
    <row r="536" ht="16.5" customHeight="1">
      <c r="A536" s="234"/>
      <c r="B536" s="235"/>
      <c r="C536" s="225"/>
      <c r="D536" s="226"/>
      <c r="E536" s="263"/>
      <c r="F536" s="194"/>
      <c r="G536" s="194"/>
      <c r="H536" s="194"/>
      <c r="I536" s="194"/>
      <c r="J536" s="194"/>
      <c r="K536" s="194"/>
    </row>
    <row r="537" ht="16.5" customHeight="1">
      <c r="A537" s="233"/>
      <c r="B537" s="74"/>
      <c r="C537" s="220"/>
      <c r="D537" s="221"/>
      <c r="E537" s="236"/>
      <c r="F537" s="187"/>
      <c r="G537" s="187"/>
      <c r="H537" s="187"/>
      <c r="I537" s="187"/>
      <c r="J537" s="187"/>
      <c r="K537" s="187"/>
    </row>
    <row r="538" ht="16.5" customHeight="1">
      <c r="A538" s="234"/>
      <c r="B538" s="235"/>
      <c r="C538" s="225"/>
      <c r="D538" s="226"/>
      <c r="E538" s="263"/>
      <c r="F538" s="194"/>
      <c r="G538" s="194"/>
      <c r="H538" s="194"/>
      <c r="I538" s="194"/>
      <c r="J538" s="194"/>
      <c r="K538" s="194"/>
    </row>
    <row r="539" ht="16.5" customHeight="1">
      <c r="A539" s="233"/>
      <c r="B539" s="74"/>
      <c r="C539" s="220"/>
      <c r="D539" s="221"/>
      <c r="E539" s="236"/>
      <c r="F539" s="187"/>
      <c r="G539" s="187"/>
      <c r="H539" s="187"/>
      <c r="I539" s="187"/>
      <c r="J539" s="187"/>
      <c r="K539" s="187"/>
    </row>
    <row r="540" ht="16.5" customHeight="1">
      <c r="A540" s="234"/>
      <c r="B540" s="235"/>
      <c r="C540" s="225"/>
      <c r="D540" s="226"/>
      <c r="E540" s="263"/>
      <c r="F540" s="194"/>
      <c r="G540" s="194"/>
      <c r="H540" s="194"/>
      <c r="I540" s="194"/>
      <c r="J540" s="194"/>
      <c r="K540" s="194"/>
    </row>
    <row r="541" ht="16.5" customHeight="1">
      <c r="A541" s="233"/>
      <c r="B541" s="74"/>
      <c r="C541" s="220"/>
      <c r="D541" s="221"/>
      <c r="E541" s="236"/>
      <c r="F541" s="187"/>
      <c r="G541" s="187"/>
      <c r="H541" s="187"/>
      <c r="I541" s="187"/>
      <c r="J541" s="187"/>
      <c r="K541" s="187"/>
    </row>
    <row r="542" ht="16.5" customHeight="1">
      <c r="A542" s="234"/>
      <c r="B542" s="235"/>
      <c r="C542" s="225"/>
      <c r="D542" s="226"/>
      <c r="E542" s="263"/>
      <c r="F542" s="194"/>
      <c r="G542" s="194"/>
      <c r="H542" s="194"/>
      <c r="I542" s="194"/>
      <c r="J542" s="194"/>
      <c r="K542" s="194"/>
    </row>
    <row r="543" ht="16.5" customHeight="1">
      <c r="A543" s="233"/>
      <c r="B543" s="74"/>
      <c r="C543" s="220"/>
      <c r="D543" s="221"/>
      <c r="E543" s="236"/>
      <c r="F543" s="187"/>
      <c r="G543" s="187"/>
      <c r="H543" s="187"/>
      <c r="I543" s="187"/>
      <c r="J543" s="187"/>
      <c r="K543" s="187"/>
    </row>
    <row r="544" ht="16.5" customHeight="1">
      <c r="A544" s="234"/>
      <c r="B544" s="235"/>
      <c r="C544" s="225"/>
      <c r="D544" s="226"/>
      <c r="E544" s="263"/>
      <c r="F544" s="194"/>
      <c r="G544" s="194"/>
      <c r="H544" s="194"/>
      <c r="I544" s="194"/>
      <c r="J544" s="194"/>
      <c r="K544" s="194"/>
    </row>
    <row r="545" ht="16.5" customHeight="1">
      <c r="A545" s="233"/>
      <c r="B545" s="74"/>
      <c r="C545" s="220"/>
      <c r="D545" s="221"/>
      <c r="E545" s="236"/>
      <c r="F545" s="187"/>
      <c r="G545" s="187"/>
      <c r="H545" s="187"/>
      <c r="I545" s="187"/>
      <c r="J545" s="187"/>
      <c r="K545" s="187"/>
    </row>
    <row r="546" ht="16.5" customHeight="1">
      <c r="A546" s="234"/>
      <c r="B546" s="235"/>
      <c r="C546" s="225"/>
      <c r="D546" s="226"/>
      <c r="E546" s="263"/>
      <c r="F546" s="194"/>
      <c r="G546" s="194"/>
      <c r="H546" s="194"/>
      <c r="I546" s="194"/>
      <c r="J546" s="194"/>
      <c r="K546" s="194"/>
    </row>
    <row r="547" ht="16.5" customHeight="1">
      <c r="A547" s="233"/>
      <c r="B547" s="74"/>
      <c r="C547" s="220"/>
      <c r="D547" s="221"/>
      <c r="E547" s="236"/>
      <c r="F547" s="187"/>
      <c r="G547" s="187"/>
      <c r="H547" s="187"/>
      <c r="I547" s="187"/>
      <c r="J547" s="187"/>
      <c r="K547" s="187"/>
    </row>
    <row r="548" ht="16.5" customHeight="1">
      <c r="A548" s="234"/>
      <c r="B548" s="235"/>
      <c r="C548" s="225"/>
      <c r="D548" s="226"/>
      <c r="E548" s="263"/>
      <c r="F548" s="194"/>
      <c r="G548" s="194"/>
      <c r="H548" s="194"/>
      <c r="I548" s="194"/>
      <c r="J548" s="194"/>
      <c r="K548" s="194"/>
    </row>
    <row r="549" ht="16.5" customHeight="1">
      <c r="A549" s="233"/>
      <c r="B549" s="74"/>
      <c r="C549" s="220"/>
      <c r="D549" s="221"/>
      <c r="E549" s="236"/>
      <c r="F549" s="187"/>
      <c r="G549" s="187"/>
      <c r="H549" s="187"/>
      <c r="I549" s="187"/>
      <c r="J549" s="187"/>
      <c r="K549" s="187"/>
    </row>
    <row r="550" ht="16.5" customHeight="1">
      <c r="A550" s="234"/>
      <c r="B550" s="235"/>
      <c r="C550" s="225"/>
      <c r="D550" s="226"/>
      <c r="E550" s="263"/>
      <c r="F550" s="194"/>
      <c r="G550" s="194"/>
      <c r="H550" s="194"/>
      <c r="I550" s="194"/>
      <c r="J550" s="194"/>
      <c r="K550" s="194"/>
    </row>
    <row r="551" ht="16.5" customHeight="1">
      <c r="A551" s="233"/>
      <c r="B551" s="74"/>
      <c r="C551" s="220"/>
      <c r="D551" s="221"/>
      <c r="E551" s="236"/>
      <c r="F551" s="187"/>
      <c r="G551" s="187"/>
      <c r="H551" s="187"/>
      <c r="I551" s="187"/>
      <c r="J551" s="187"/>
      <c r="K551" s="187"/>
    </row>
    <row r="552" ht="16.5" customHeight="1">
      <c r="A552" s="234"/>
      <c r="B552" s="235"/>
      <c r="C552" s="225"/>
      <c r="D552" s="226"/>
      <c r="E552" s="263"/>
      <c r="F552" s="194"/>
      <c r="G552" s="194"/>
      <c r="H552" s="194"/>
      <c r="I552" s="194"/>
      <c r="J552" s="194"/>
      <c r="K552" s="194"/>
    </row>
    <row r="553" ht="16.5" customHeight="1">
      <c r="A553" s="233"/>
      <c r="B553" s="74"/>
      <c r="C553" s="220"/>
      <c r="D553" s="221"/>
      <c r="E553" s="236"/>
      <c r="F553" s="187"/>
      <c r="G553" s="187"/>
      <c r="H553" s="187"/>
      <c r="I553" s="187"/>
      <c r="J553" s="187"/>
      <c r="K553" s="187"/>
    </row>
    <row r="554" ht="16.5" customHeight="1">
      <c r="A554" s="234"/>
      <c r="B554" s="235"/>
      <c r="C554" s="225"/>
      <c r="D554" s="226"/>
      <c r="E554" s="263"/>
      <c r="F554" s="194"/>
      <c r="G554" s="194"/>
      <c r="H554" s="194"/>
      <c r="I554" s="194"/>
      <c r="J554" s="194"/>
      <c r="K554" s="194"/>
    </row>
    <row r="555" ht="16.5" customHeight="1">
      <c r="A555" s="233"/>
      <c r="B555" s="74"/>
      <c r="C555" s="220"/>
      <c r="D555" s="221"/>
      <c r="E555" s="236"/>
      <c r="F555" s="187"/>
      <c r="G555" s="187"/>
      <c r="H555" s="187"/>
      <c r="I555" s="187"/>
      <c r="J555" s="187"/>
      <c r="K555" s="187"/>
    </row>
    <row r="556" ht="16.5" customHeight="1">
      <c r="A556" s="234"/>
      <c r="B556" s="235"/>
      <c r="C556" s="225"/>
      <c r="D556" s="226"/>
      <c r="E556" s="263"/>
      <c r="F556" s="194"/>
      <c r="G556" s="194"/>
      <c r="H556" s="194"/>
      <c r="I556" s="194"/>
      <c r="J556" s="194"/>
      <c r="K556" s="194"/>
    </row>
    <row r="557" ht="16.5" customHeight="1">
      <c r="A557" s="233"/>
      <c r="B557" s="74"/>
      <c r="C557" s="220"/>
      <c r="D557" s="221"/>
      <c r="E557" s="236"/>
      <c r="F557" s="187"/>
      <c r="G557" s="187"/>
      <c r="H557" s="187"/>
      <c r="I557" s="187"/>
      <c r="J557" s="187"/>
      <c r="K557" s="187"/>
    </row>
    <row r="558" ht="16.5" customHeight="1">
      <c r="A558" s="234"/>
      <c r="B558" s="235"/>
      <c r="C558" s="225"/>
      <c r="D558" s="226"/>
      <c r="E558" s="263"/>
      <c r="F558" s="194"/>
      <c r="G558" s="194"/>
      <c r="H558" s="194"/>
      <c r="I558" s="194"/>
      <c r="J558" s="194"/>
      <c r="K558" s="194"/>
    </row>
    <row r="559" ht="16.5" customHeight="1">
      <c r="A559" s="233"/>
      <c r="B559" s="74"/>
      <c r="C559" s="220"/>
      <c r="D559" s="221"/>
      <c r="E559" s="236"/>
      <c r="F559" s="187"/>
      <c r="G559" s="187"/>
      <c r="H559" s="187"/>
      <c r="I559" s="187"/>
      <c r="J559" s="187"/>
      <c r="K559" s="187"/>
    </row>
    <row r="560" ht="16.5" customHeight="1">
      <c r="A560" s="234"/>
      <c r="B560" s="235"/>
      <c r="C560" s="225"/>
      <c r="D560" s="226"/>
      <c r="E560" s="263"/>
      <c r="F560" s="194"/>
      <c r="G560" s="194"/>
      <c r="H560" s="194"/>
      <c r="I560" s="194"/>
      <c r="J560" s="194"/>
      <c r="K560" s="194"/>
    </row>
    <row r="561" ht="16.5" customHeight="1">
      <c r="A561" s="233"/>
      <c r="B561" s="74"/>
      <c r="C561" s="220"/>
      <c r="D561" s="221"/>
      <c r="E561" s="236"/>
      <c r="F561" s="187"/>
      <c r="G561" s="187"/>
      <c r="H561" s="187"/>
      <c r="I561" s="187"/>
      <c r="J561" s="187"/>
      <c r="K561" s="187"/>
    </row>
    <row r="562" ht="16.5" customHeight="1">
      <c r="A562" s="234"/>
      <c r="B562" s="235"/>
      <c r="C562" s="225"/>
      <c r="D562" s="226"/>
      <c r="E562" s="263"/>
      <c r="F562" s="194"/>
      <c r="G562" s="194"/>
      <c r="H562" s="194"/>
      <c r="I562" s="194"/>
      <c r="J562" s="194"/>
      <c r="K562" s="194"/>
    </row>
    <row r="563" ht="16.5" customHeight="1">
      <c r="A563" s="233"/>
      <c r="B563" s="74"/>
      <c r="C563" s="220"/>
      <c r="D563" s="221"/>
      <c r="E563" s="236"/>
      <c r="F563" s="187"/>
      <c r="G563" s="187"/>
      <c r="H563" s="187"/>
      <c r="I563" s="187"/>
      <c r="J563" s="187"/>
      <c r="K563" s="187"/>
    </row>
    <row r="564" ht="16.5" customHeight="1">
      <c r="A564" s="234"/>
      <c r="B564" s="235"/>
      <c r="C564" s="225"/>
      <c r="D564" s="226"/>
      <c r="E564" s="263"/>
      <c r="F564" s="194"/>
      <c r="G564" s="194"/>
      <c r="H564" s="194"/>
      <c r="I564" s="194"/>
      <c r="J564" s="194"/>
      <c r="K564" s="194"/>
    </row>
    <row r="565" ht="16.5" customHeight="1">
      <c r="A565" s="233"/>
      <c r="B565" s="74"/>
      <c r="C565" s="220"/>
      <c r="D565" s="221"/>
      <c r="E565" s="236"/>
      <c r="F565" s="187"/>
      <c r="G565" s="187"/>
      <c r="H565" s="187"/>
      <c r="I565" s="187"/>
      <c r="J565" s="187"/>
      <c r="K565" s="187"/>
    </row>
    <row r="566" ht="16.5" customHeight="1">
      <c r="A566" s="234"/>
      <c r="B566" s="235"/>
      <c r="C566" s="225"/>
      <c r="D566" s="226"/>
      <c r="E566" s="263"/>
      <c r="F566" s="194"/>
      <c r="G566" s="194"/>
      <c r="H566" s="194"/>
      <c r="I566" s="194"/>
      <c r="J566" s="194"/>
      <c r="K566" s="194"/>
    </row>
    <row r="567" ht="16.5" customHeight="1">
      <c r="A567" s="233"/>
      <c r="B567" s="74"/>
      <c r="C567" s="220"/>
      <c r="D567" s="221"/>
      <c r="E567" s="236"/>
      <c r="F567" s="187"/>
      <c r="G567" s="187"/>
      <c r="H567" s="187"/>
      <c r="I567" s="187"/>
      <c r="J567" s="187"/>
      <c r="K567" s="187"/>
    </row>
    <row r="568" ht="16.5" customHeight="1">
      <c r="A568" s="234"/>
      <c r="B568" s="235"/>
      <c r="C568" s="225"/>
      <c r="D568" s="226"/>
      <c r="E568" s="263"/>
      <c r="F568" s="194"/>
      <c r="G568" s="194"/>
      <c r="H568" s="194"/>
      <c r="I568" s="194"/>
      <c r="J568" s="194"/>
      <c r="K568" s="194"/>
    </row>
    <row r="569" ht="16.5" customHeight="1">
      <c r="A569" s="233"/>
      <c r="B569" s="74"/>
      <c r="C569" s="220"/>
      <c r="D569" s="221"/>
      <c r="E569" s="236"/>
      <c r="F569" s="187"/>
      <c r="G569" s="187"/>
      <c r="H569" s="187"/>
      <c r="I569" s="187"/>
      <c r="J569" s="187"/>
      <c r="K569" s="187"/>
    </row>
    <row r="570" ht="16.5" customHeight="1">
      <c r="A570" s="234"/>
      <c r="B570" s="235"/>
      <c r="C570" s="225"/>
      <c r="D570" s="226"/>
      <c r="E570" s="263"/>
      <c r="F570" s="194"/>
      <c r="G570" s="194"/>
      <c r="H570" s="194"/>
      <c r="I570" s="194"/>
      <c r="J570" s="194"/>
      <c r="K570" s="194"/>
    </row>
    <row r="571" ht="16.5" customHeight="1">
      <c r="A571" s="233"/>
      <c r="B571" s="74"/>
      <c r="C571" s="220"/>
      <c r="D571" s="221"/>
      <c r="E571" s="236"/>
      <c r="F571" s="187"/>
      <c r="G571" s="187"/>
      <c r="H571" s="187"/>
      <c r="I571" s="187"/>
      <c r="J571" s="187"/>
      <c r="K571" s="187"/>
    </row>
    <row r="572" ht="16.5" customHeight="1">
      <c r="A572" s="234"/>
      <c r="B572" s="235"/>
      <c r="C572" s="225"/>
      <c r="D572" s="226"/>
      <c r="E572" s="263"/>
      <c r="F572" s="194"/>
      <c r="G572" s="194"/>
      <c r="H572" s="194"/>
      <c r="I572" s="194"/>
      <c r="J572" s="194"/>
      <c r="K572" s="194"/>
    </row>
    <row r="573" ht="16.5" customHeight="1">
      <c r="A573" s="233"/>
      <c r="B573" s="74"/>
      <c r="C573" s="220"/>
      <c r="D573" s="221"/>
      <c r="E573" s="236"/>
      <c r="F573" s="187"/>
      <c r="G573" s="187"/>
      <c r="H573" s="187"/>
      <c r="I573" s="187"/>
      <c r="J573" s="187"/>
      <c r="K573" s="187"/>
    </row>
    <row r="574" ht="16.5" customHeight="1">
      <c r="A574" s="234"/>
      <c r="B574" s="235"/>
      <c r="C574" s="225"/>
      <c r="D574" s="226"/>
      <c r="E574" s="263"/>
      <c r="F574" s="194"/>
      <c r="G574" s="194"/>
      <c r="H574" s="194"/>
      <c r="I574" s="194"/>
      <c r="J574" s="194"/>
      <c r="K574" s="194"/>
    </row>
    <row r="575" ht="16.5" customHeight="1">
      <c r="A575" s="233"/>
      <c r="B575" s="74"/>
      <c r="C575" s="220"/>
      <c r="D575" s="221"/>
      <c r="E575" s="236"/>
      <c r="F575" s="187"/>
      <c r="G575" s="187"/>
      <c r="H575" s="187"/>
      <c r="I575" s="187"/>
      <c r="J575" s="187"/>
      <c r="K575" s="187"/>
    </row>
    <row r="576" ht="16.5" customHeight="1">
      <c r="A576" s="234"/>
      <c r="B576" s="235"/>
      <c r="C576" s="225"/>
      <c r="D576" s="226"/>
      <c r="E576" s="263"/>
      <c r="F576" s="194"/>
      <c r="G576" s="194"/>
      <c r="H576" s="194"/>
      <c r="I576" s="194"/>
      <c r="J576" s="194"/>
      <c r="K576" s="194"/>
    </row>
    <row r="577" ht="16.5" customHeight="1">
      <c r="A577" s="233"/>
      <c r="B577" s="74"/>
      <c r="C577" s="220"/>
      <c r="D577" s="221"/>
      <c r="E577" s="236"/>
      <c r="F577" s="187"/>
      <c r="G577" s="187"/>
      <c r="H577" s="187"/>
      <c r="I577" s="187"/>
      <c r="J577" s="187"/>
      <c r="K577" s="187"/>
    </row>
    <row r="578" ht="16.5" customHeight="1">
      <c r="A578" s="234"/>
      <c r="B578" s="235"/>
      <c r="C578" s="225"/>
      <c r="D578" s="226"/>
      <c r="E578" s="263"/>
      <c r="F578" s="194"/>
      <c r="G578" s="194"/>
      <c r="H578" s="194"/>
      <c r="I578" s="194"/>
      <c r="J578" s="194"/>
      <c r="K578" s="194"/>
    </row>
    <row r="579" ht="16.5" customHeight="1">
      <c r="A579" s="233"/>
      <c r="B579" s="74"/>
      <c r="C579" s="220"/>
      <c r="D579" s="221"/>
      <c r="E579" s="236"/>
      <c r="F579" s="187"/>
      <c r="G579" s="187"/>
      <c r="H579" s="187"/>
      <c r="I579" s="187"/>
      <c r="J579" s="187"/>
      <c r="K579" s="187"/>
    </row>
    <row r="580" ht="16.5" customHeight="1">
      <c r="A580" s="234"/>
      <c r="B580" s="235"/>
      <c r="C580" s="225"/>
      <c r="D580" s="226"/>
      <c r="E580" s="263"/>
      <c r="F580" s="194"/>
      <c r="G580" s="194"/>
      <c r="H580" s="194"/>
      <c r="I580" s="194"/>
      <c r="J580" s="194"/>
      <c r="K580" s="194"/>
    </row>
    <row r="581" ht="16.5" customHeight="1">
      <c r="A581" s="233"/>
      <c r="B581" s="74"/>
      <c r="C581" s="220"/>
      <c r="D581" s="221"/>
      <c r="E581" s="236"/>
      <c r="F581" s="187"/>
      <c r="G581" s="187"/>
      <c r="H581" s="187"/>
      <c r="I581" s="187"/>
      <c r="J581" s="187"/>
      <c r="K581" s="187"/>
    </row>
    <row r="582" ht="16.5" customHeight="1">
      <c r="A582" s="234"/>
      <c r="B582" s="235"/>
      <c r="C582" s="225"/>
      <c r="D582" s="226"/>
      <c r="E582" s="263"/>
      <c r="F582" s="194"/>
      <c r="G582" s="194"/>
      <c r="H582" s="194"/>
      <c r="I582" s="194"/>
      <c r="J582" s="194"/>
      <c r="K582" s="194"/>
    </row>
    <row r="583" ht="16.5" customHeight="1">
      <c r="A583" s="233"/>
      <c r="B583" s="74"/>
      <c r="C583" s="220"/>
      <c r="D583" s="221"/>
      <c r="E583" s="236"/>
      <c r="F583" s="187"/>
      <c r="G583" s="187"/>
      <c r="H583" s="187"/>
      <c r="I583" s="187"/>
      <c r="J583" s="187"/>
      <c r="K583" s="187"/>
    </row>
    <row r="584" ht="16.5" customHeight="1">
      <c r="A584" s="234"/>
      <c r="B584" s="235"/>
      <c r="C584" s="225"/>
      <c r="D584" s="226"/>
      <c r="E584" s="263"/>
      <c r="F584" s="194"/>
      <c r="G584" s="194"/>
      <c r="H584" s="194"/>
      <c r="I584" s="194"/>
      <c r="J584" s="194"/>
      <c r="K584" s="194"/>
    </row>
    <row r="585" ht="16.5" customHeight="1">
      <c r="A585" s="233"/>
      <c r="B585" s="74"/>
      <c r="C585" s="220"/>
      <c r="D585" s="221"/>
      <c r="E585" s="236"/>
      <c r="F585" s="187"/>
      <c r="G585" s="187"/>
      <c r="H585" s="187"/>
      <c r="I585" s="187"/>
      <c r="J585" s="187"/>
      <c r="K585" s="187"/>
    </row>
    <row r="586" ht="16.5" customHeight="1">
      <c r="A586" s="234"/>
      <c r="B586" s="235"/>
      <c r="C586" s="225"/>
      <c r="D586" s="226"/>
      <c r="E586" s="263"/>
      <c r="F586" s="194"/>
      <c r="G586" s="194"/>
      <c r="H586" s="194"/>
      <c r="I586" s="194"/>
      <c r="J586" s="194"/>
      <c r="K586" s="194"/>
    </row>
    <row r="587" ht="16.5" customHeight="1">
      <c r="A587" s="233"/>
      <c r="B587" s="74"/>
      <c r="C587" s="220"/>
      <c r="D587" s="221"/>
      <c r="E587" s="236"/>
      <c r="F587" s="187"/>
      <c r="G587" s="187"/>
      <c r="H587" s="187"/>
      <c r="I587" s="187"/>
      <c r="J587" s="187"/>
      <c r="K587" s="187"/>
    </row>
    <row r="588" ht="16.5" customHeight="1">
      <c r="A588" s="234"/>
      <c r="B588" s="235"/>
      <c r="C588" s="225"/>
      <c r="D588" s="226"/>
      <c r="E588" s="263"/>
      <c r="F588" s="194"/>
      <c r="G588" s="194"/>
      <c r="H588" s="194"/>
      <c r="I588" s="194"/>
      <c r="J588" s="194"/>
      <c r="K588" s="194"/>
    </row>
    <row r="589" ht="16.5" customHeight="1">
      <c r="A589" s="233"/>
      <c r="B589" s="74"/>
      <c r="C589" s="220"/>
      <c r="D589" s="221"/>
      <c r="E589" s="236"/>
      <c r="F589" s="187"/>
      <c r="G589" s="187"/>
      <c r="H589" s="187"/>
      <c r="I589" s="187"/>
      <c r="J589" s="187"/>
      <c r="K589" s="187"/>
    </row>
    <row r="590" ht="16.5" customHeight="1">
      <c r="A590" s="234"/>
      <c r="B590" s="235"/>
      <c r="C590" s="225"/>
      <c r="D590" s="226"/>
      <c r="E590" s="263"/>
      <c r="F590" s="194"/>
      <c r="G590" s="194"/>
      <c r="H590" s="194"/>
      <c r="I590" s="194"/>
      <c r="J590" s="194"/>
      <c r="K590" s="194"/>
    </row>
    <row r="591" ht="16.5" customHeight="1">
      <c r="A591" s="233"/>
      <c r="B591" s="74"/>
      <c r="C591" s="220"/>
      <c r="D591" s="221"/>
      <c r="E591" s="236"/>
      <c r="F591" s="187"/>
      <c r="G591" s="187"/>
      <c r="H591" s="187"/>
      <c r="I591" s="187"/>
      <c r="J591" s="187"/>
      <c r="K591" s="187"/>
    </row>
    <row r="592" ht="16.5" customHeight="1">
      <c r="A592" s="234"/>
      <c r="B592" s="235"/>
      <c r="C592" s="225"/>
      <c r="D592" s="226"/>
      <c r="E592" s="263"/>
      <c r="F592" s="194"/>
      <c r="G592" s="194"/>
      <c r="H592" s="194"/>
      <c r="I592" s="194"/>
      <c r="J592" s="194"/>
      <c r="K592" s="194"/>
    </row>
    <row r="593" ht="16.5" customHeight="1">
      <c r="A593" s="233"/>
      <c r="B593" s="74"/>
      <c r="C593" s="220"/>
      <c r="D593" s="221"/>
      <c r="E593" s="236"/>
      <c r="F593" s="187"/>
      <c r="G593" s="187"/>
      <c r="H593" s="187"/>
      <c r="I593" s="187"/>
      <c r="J593" s="187"/>
      <c r="K593" s="187"/>
    </row>
    <row r="594" ht="16.5" customHeight="1">
      <c r="A594" s="234"/>
      <c r="B594" s="235"/>
      <c r="C594" s="225"/>
      <c r="D594" s="226"/>
      <c r="E594" s="263"/>
      <c r="F594" s="194"/>
      <c r="G594" s="194"/>
      <c r="H594" s="194"/>
      <c r="I594" s="194"/>
      <c r="J594" s="194"/>
      <c r="K594" s="194"/>
    </row>
    <row r="595" ht="16.5" customHeight="1">
      <c r="A595" s="233"/>
      <c r="B595" s="74"/>
      <c r="C595" s="220"/>
      <c r="D595" s="221"/>
      <c r="E595" s="236"/>
      <c r="F595" s="187"/>
      <c r="G595" s="187"/>
      <c r="H595" s="187"/>
      <c r="I595" s="187"/>
      <c r="J595" s="187"/>
      <c r="K595" s="187"/>
    </row>
    <row r="596" ht="16.5" customHeight="1">
      <c r="A596" s="234"/>
      <c r="B596" s="235"/>
      <c r="C596" s="225"/>
      <c r="D596" s="226"/>
      <c r="E596" s="263"/>
      <c r="F596" s="194"/>
      <c r="G596" s="194"/>
      <c r="H596" s="194"/>
      <c r="I596" s="194"/>
      <c r="J596" s="194"/>
      <c r="K596" s="194"/>
    </row>
    <row r="597" ht="16.5" customHeight="1">
      <c r="A597" s="233"/>
      <c r="B597" s="74"/>
      <c r="C597" s="220"/>
      <c r="D597" s="221"/>
      <c r="E597" s="236"/>
      <c r="F597" s="187"/>
      <c r="G597" s="187"/>
      <c r="H597" s="187"/>
      <c r="I597" s="187"/>
      <c r="J597" s="187"/>
      <c r="K597" s="187"/>
    </row>
    <row r="598" ht="16.5" customHeight="1">
      <c r="A598" s="234"/>
      <c r="B598" s="235"/>
      <c r="C598" s="225"/>
      <c r="D598" s="226"/>
      <c r="E598" s="263"/>
      <c r="F598" s="194"/>
      <c r="G598" s="194"/>
      <c r="H598" s="194"/>
      <c r="I598" s="194"/>
      <c r="J598" s="194"/>
      <c r="K598" s="194"/>
    </row>
    <row r="599" ht="16.5" customHeight="1">
      <c r="A599" s="233"/>
      <c r="B599" s="74"/>
      <c r="C599" s="220"/>
      <c r="D599" s="221"/>
      <c r="E599" s="236"/>
      <c r="F599" s="187"/>
      <c r="G599" s="187"/>
      <c r="H599" s="187"/>
      <c r="I599" s="187"/>
      <c r="J599" s="187"/>
      <c r="K599" s="187"/>
    </row>
    <row r="600" ht="16.5" customHeight="1">
      <c r="A600" s="234"/>
      <c r="B600" s="235"/>
      <c r="C600" s="225"/>
      <c r="D600" s="226"/>
      <c r="E600" s="263"/>
      <c r="F600" s="194"/>
      <c r="G600" s="194"/>
      <c r="H600" s="194"/>
      <c r="I600" s="194"/>
      <c r="J600" s="194"/>
      <c r="K600" s="194"/>
    </row>
    <row r="601" ht="16.5" customHeight="1">
      <c r="A601" s="233"/>
      <c r="B601" s="74"/>
      <c r="C601" s="220"/>
      <c r="D601" s="221"/>
      <c r="E601" s="236"/>
      <c r="F601" s="187"/>
      <c r="G601" s="187"/>
      <c r="H601" s="187"/>
      <c r="I601" s="187"/>
      <c r="J601" s="187"/>
      <c r="K601" s="187"/>
    </row>
    <row r="602" ht="16.5" customHeight="1">
      <c r="A602" s="234"/>
      <c r="B602" s="235"/>
      <c r="C602" s="225"/>
      <c r="D602" s="226"/>
      <c r="E602" s="263"/>
      <c r="F602" s="194"/>
      <c r="G602" s="194"/>
      <c r="H602" s="194"/>
      <c r="I602" s="194"/>
      <c r="J602" s="194"/>
      <c r="K602" s="194"/>
    </row>
    <row r="603" ht="16.5" customHeight="1">
      <c r="A603" s="233"/>
      <c r="B603" s="74"/>
      <c r="C603" s="220"/>
      <c r="D603" s="221"/>
      <c r="E603" s="236"/>
      <c r="F603" s="187"/>
      <c r="G603" s="187"/>
      <c r="H603" s="187"/>
      <c r="I603" s="187"/>
      <c r="J603" s="187"/>
      <c r="K603" s="187"/>
    </row>
    <row r="604" ht="16.5" customHeight="1">
      <c r="A604" s="234"/>
      <c r="B604" s="235"/>
      <c r="C604" s="225"/>
      <c r="D604" s="226"/>
      <c r="E604" s="263"/>
      <c r="F604" s="194"/>
      <c r="G604" s="194"/>
      <c r="H604" s="194"/>
      <c r="I604" s="194"/>
      <c r="J604" s="194"/>
      <c r="K604" s="194"/>
    </row>
    <row r="605" ht="16.5" customHeight="1">
      <c r="A605" s="233"/>
      <c r="B605" s="74"/>
      <c r="C605" s="220"/>
      <c r="D605" s="221"/>
      <c r="E605" s="236"/>
      <c r="F605" s="187"/>
      <c r="G605" s="187"/>
      <c r="H605" s="187"/>
      <c r="I605" s="187"/>
      <c r="J605" s="187"/>
      <c r="K605" s="187"/>
    </row>
    <row r="606" ht="16.5" customHeight="1">
      <c r="A606" s="234"/>
      <c r="B606" s="235"/>
      <c r="C606" s="225"/>
      <c r="D606" s="226"/>
      <c r="E606" s="263"/>
      <c r="F606" s="194"/>
      <c r="G606" s="194"/>
      <c r="H606" s="194"/>
      <c r="I606" s="194"/>
      <c r="J606" s="194"/>
      <c r="K606" s="194"/>
    </row>
    <row r="607" ht="16.5" customHeight="1">
      <c r="A607" s="233"/>
      <c r="B607" s="74"/>
      <c r="C607" s="220"/>
      <c r="D607" s="221"/>
      <c r="E607" s="236"/>
      <c r="F607" s="187"/>
      <c r="G607" s="187"/>
      <c r="H607" s="187"/>
      <c r="I607" s="187"/>
      <c r="J607" s="187"/>
      <c r="K607" s="187"/>
    </row>
    <row r="608" ht="16.5" customHeight="1">
      <c r="A608" s="234"/>
      <c r="B608" s="235"/>
      <c r="C608" s="225"/>
      <c r="D608" s="226"/>
      <c r="E608" s="263"/>
      <c r="F608" s="194"/>
      <c r="G608" s="194"/>
      <c r="H608" s="194"/>
      <c r="I608" s="194"/>
      <c r="J608" s="194"/>
      <c r="K608" s="194"/>
    </row>
    <row r="609" ht="16.5" customHeight="1">
      <c r="A609" s="233"/>
      <c r="B609" s="74"/>
      <c r="C609" s="220"/>
      <c r="D609" s="221"/>
      <c r="E609" s="236"/>
      <c r="F609" s="187"/>
      <c r="G609" s="187"/>
      <c r="H609" s="187"/>
      <c r="I609" s="187"/>
      <c r="J609" s="187"/>
      <c r="K609" s="187"/>
    </row>
    <row r="610" ht="16.5" customHeight="1">
      <c r="A610" s="234"/>
      <c r="B610" s="235"/>
      <c r="C610" s="225"/>
      <c r="D610" s="226"/>
      <c r="E610" s="263"/>
      <c r="F610" s="194"/>
      <c r="G610" s="194"/>
      <c r="H610" s="194"/>
      <c r="I610" s="194"/>
      <c r="J610" s="194"/>
      <c r="K610" s="194"/>
    </row>
    <row r="611" ht="16.5" customHeight="1">
      <c r="A611" s="233"/>
      <c r="B611" s="74"/>
      <c r="C611" s="220"/>
      <c r="D611" s="221"/>
      <c r="E611" s="236"/>
      <c r="F611" s="187"/>
      <c r="G611" s="187"/>
      <c r="H611" s="187"/>
      <c r="I611" s="187"/>
      <c r="J611" s="187"/>
      <c r="K611" s="187"/>
    </row>
    <row r="612" ht="16.5" customHeight="1">
      <c r="A612" s="234"/>
      <c r="B612" s="235"/>
      <c r="C612" s="225"/>
      <c r="D612" s="226"/>
      <c r="E612" s="263"/>
      <c r="F612" s="194"/>
      <c r="G612" s="194"/>
      <c r="H612" s="194"/>
      <c r="I612" s="194"/>
      <c r="J612" s="194"/>
      <c r="K612" s="194"/>
    </row>
    <row r="613" ht="16.5" customHeight="1">
      <c r="A613" s="233"/>
      <c r="B613" s="74"/>
      <c r="C613" s="220"/>
      <c r="D613" s="221"/>
      <c r="E613" s="236"/>
      <c r="F613" s="187"/>
      <c r="G613" s="187"/>
      <c r="H613" s="187"/>
      <c r="I613" s="187"/>
      <c r="J613" s="187"/>
      <c r="K613" s="187"/>
    </row>
    <row r="614" ht="16.5" customHeight="1">
      <c r="A614" s="234"/>
      <c r="B614" s="235"/>
      <c r="C614" s="225"/>
      <c r="D614" s="226"/>
      <c r="E614" s="263"/>
      <c r="F614" s="194"/>
      <c r="G614" s="194"/>
      <c r="H614" s="194"/>
      <c r="I614" s="194"/>
      <c r="J614" s="194"/>
      <c r="K614" s="194"/>
    </row>
    <row r="615" ht="16.5" customHeight="1">
      <c r="A615" s="233"/>
      <c r="B615" s="74"/>
      <c r="C615" s="220"/>
      <c r="D615" s="221"/>
      <c r="E615" s="236"/>
      <c r="F615" s="187"/>
      <c r="G615" s="187"/>
      <c r="H615" s="187"/>
      <c r="I615" s="187"/>
      <c r="J615" s="187"/>
      <c r="K615" s="187"/>
    </row>
    <row r="616" ht="16.5" customHeight="1">
      <c r="A616" s="234"/>
      <c r="B616" s="235"/>
      <c r="C616" s="225"/>
      <c r="D616" s="226"/>
      <c r="E616" s="263"/>
      <c r="F616" s="194"/>
      <c r="G616" s="194"/>
      <c r="H616" s="194"/>
      <c r="I616" s="194"/>
      <c r="J616" s="194"/>
      <c r="K616" s="194"/>
    </row>
    <row r="617" ht="16.5" customHeight="1">
      <c r="A617" s="233"/>
      <c r="B617" s="74"/>
      <c r="C617" s="220"/>
      <c r="D617" s="221"/>
      <c r="E617" s="236"/>
      <c r="F617" s="187"/>
      <c r="G617" s="187"/>
      <c r="H617" s="187"/>
      <c r="I617" s="187"/>
      <c r="J617" s="187"/>
      <c r="K617" s="187"/>
    </row>
    <row r="618" ht="16.5" customHeight="1">
      <c r="A618" s="234"/>
      <c r="B618" s="235"/>
      <c r="C618" s="225"/>
      <c r="D618" s="226"/>
      <c r="E618" s="263"/>
      <c r="F618" s="194"/>
      <c r="G618" s="194"/>
      <c r="H618" s="194"/>
      <c r="I618" s="194"/>
      <c r="J618" s="194"/>
      <c r="K618" s="194"/>
    </row>
    <row r="619" ht="16.5" customHeight="1">
      <c r="A619" s="233"/>
      <c r="B619" s="74"/>
      <c r="C619" s="220"/>
      <c r="D619" s="221"/>
      <c r="E619" s="236"/>
      <c r="F619" s="187"/>
      <c r="G619" s="187"/>
      <c r="H619" s="187"/>
      <c r="I619" s="187"/>
      <c r="J619" s="187"/>
      <c r="K619" s="187"/>
    </row>
    <row r="620" ht="16.5" customHeight="1">
      <c r="A620" s="234"/>
      <c r="B620" s="235"/>
      <c r="C620" s="225"/>
      <c r="D620" s="226"/>
      <c r="E620" s="263"/>
      <c r="F620" s="194"/>
      <c r="G620" s="194"/>
      <c r="H620" s="194"/>
      <c r="I620" s="194"/>
      <c r="J620" s="194"/>
      <c r="K620" s="194"/>
    </row>
    <row r="621" ht="16.5" customHeight="1">
      <c r="A621" s="233"/>
      <c r="B621" s="74"/>
      <c r="C621" s="220"/>
      <c r="D621" s="221"/>
      <c r="E621" s="236"/>
      <c r="F621" s="187"/>
      <c r="G621" s="187"/>
      <c r="H621" s="187"/>
      <c r="I621" s="187"/>
      <c r="J621" s="187"/>
      <c r="K621" s="187"/>
    </row>
    <row r="622" ht="16.5" customHeight="1">
      <c r="A622" s="234"/>
      <c r="B622" s="235"/>
      <c r="C622" s="225"/>
      <c r="D622" s="226"/>
      <c r="E622" s="263"/>
      <c r="F622" s="194"/>
      <c r="G622" s="194"/>
      <c r="H622" s="194"/>
      <c r="I622" s="194"/>
      <c r="J622" s="194"/>
      <c r="K622" s="194"/>
    </row>
    <row r="623" ht="16.5" customHeight="1">
      <c r="A623" s="233"/>
      <c r="B623" s="74"/>
      <c r="C623" s="220"/>
      <c r="D623" s="221"/>
      <c r="E623" s="236"/>
      <c r="F623" s="187"/>
      <c r="G623" s="187"/>
      <c r="H623" s="187"/>
      <c r="I623" s="187"/>
      <c r="J623" s="187"/>
      <c r="K623" s="187"/>
    </row>
    <row r="624" ht="16.5" customHeight="1">
      <c r="A624" s="234"/>
      <c r="B624" s="235"/>
      <c r="C624" s="225"/>
      <c r="D624" s="226"/>
      <c r="E624" s="263"/>
      <c r="F624" s="194"/>
      <c r="G624" s="194"/>
      <c r="H624" s="194"/>
      <c r="I624" s="194"/>
      <c r="J624" s="194"/>
      <c r="K624" s="194"/>
    </row>
    <row r="625" ht="16.5" customHeight="1">
      <c r="A625" s="233"/>
      <c r="B625" s="74"/>
      <c r="C625" s="220"/>
      <c r="D625" s="221"/>
      <c r="E625" s="236"/>
      <c r="F625" s="187"/>
      <c r="G625" s="187"/>
      <c r="H625" s="187"/>
      <c r="I625" s="187"/>
      <c r="J625" s="187"/>
      <c r="K625" s="187"/>
    </row>
    <row r="626" ht="16.5" customHeight="1">
      <c r="A626" s="234"/>
      <c r="B626" s="235"/>
      <c r="C626" s="225"/>
      <c r="D626" s="226"/>
      <c r="E626" s="263"/>
      <c r="F626" s="194"/>
      <c r="G626" s="194"/>
      <c r="H626" s="194"/>
      <c r="I626" s="194"/>
      <c r="J626" s="194"/>
      <c r="K626" s="194"/>
    </row>
    <row r="627" ht="16.5" customHeight="1">
      <c r="A627" s="233"/>
      <c r="B627" s="74"/>
      <c r="C627" s="220"/>
      <c r="D627" s="221"/>
      <c r="E627" s="236"/>
      <c r="F627" s="187"/>
      <c r="G627" s="187"/>
      <c r="H627" s="187"/>
      <c r="I627" s="187"/>
      <c r="J627" s="187"/>
      <c r="K627" s="187"/>
    </row>
    <row r="628" ht="16.5" customHeight="1">
      <c r="A628" s="234"/>
      <c r="B628" s="235"/>
      <c r="C628" s="225"/>
      <c r="D628" s="226"/>
      <c r="E628" s="263"/>
      <c r="F628" s="194"/>
      <c r="G628" s="194"/>
      <c r="H628" s="194"/>
      <c r="I628" s="194"/>
      <c r="J628" s="194"/>
      <c r="K628" s="194"/>
    </row>
    <row r="629" ht="16.5" customHeight="1">
      <c r="A629" s="233"/>
      <c r="B629" s="74"/>
      <c r="C629" s="220"/>
      <c r="D629" s="221"/>
      <c r="E629" s="236"/>
      <c r="F629" s="187"/>
      <c r="G629" s="187"/>
      <c r="H629" s="187"/>
      <c r="I629" s="187"/>
      <c r="J629" s="187"/>
      <c r="K629" s="187"/>
    </row>
    <row r="630" ht="16.5" customHeight="1">
      <c r="A630" s="234"/>
      <c r="B630" s="235"/>
      <c r="C630" s="225"/>
      <c r="D630" s="226"/>
      <c r="E630" s="263"/>
      <c r="F630" s="194"/>
      <c r="G630" s="194"/>
      <c r="H630" s="194"/>
      <c r="I630" s="194"/>
      <c r="J630" s="194"/>
      <c r="K630" s="194"/>
    </row>
    <row r="631" ht="16.5" customHeight="1">
      <c r="A631" s="233"/>
      <c r="B631" s="74"/>
      <c r="C631" s="220"/>
      <c r="D631" s="221"/>
      <c r="E631" s="236"/>
      <c r="F631" s="187"/>
      <c r="G631" s="187"/>
      <c r="H631" s="187"/>
      <c r="I631" s="187"/>
      <c r="J631" s="187"/>
      <c r="K631" s="187"/>
    </row>
    <row r="632" ht="16.5" customHeight="1">
      <c r="A632" s="234"/>
      <c r="B632" s="235"/>
      <c r="C632" s="225"/>
      <c r="D632" s="226"/>
      <c r="E632" s="263"/>
      <c r="F632" s="194"/>
      <c r="G632" s="194"/>
      <c r="H632" s="194"/>
      <c r="I632" s="194"/>
      <c r="J632" s="194"/>
      <c r="K632" s="194"/>
    </row>
    <row r="633" ht="16.5" customHeight="1">
      <c r="A633" s="233"/>
      <c r="B633" s="74"/>
      <c r="C633" s="220"/>
      <c r="D633" s="221"/>
      <c r="E633" s="236"/>
      <c r="F633" s="187"/>
      <c r="G633" s="187"/>
      <c r="H633" s="187"/>
      <c r="I633" s="187"/>
      <c r="J633" s="187"/>
      <c r="K633" s="187"/>
    </row>
    <row r="634" ht="16.5" customHeight="1">
      <c r="A634" s="234"/>
      <c r="B634" s="235"/>
      <c r="C634" s="225"/>
      <c r="D634" s="226"/>
      <c r="E634" s="263"/>
      <c r="F634" s="194"/>
      <c r="G634" s="194"/>
      <c r="H634" s="194"/>
      <c r="I634" s="194"/>
      <c r="J634" s="194"/>
      <c r="K634" s="194"/>
    </row>
    <row r="635" ht="16.5" customHeight="1">
      <c r="A635" s="233"/>
      <c r="B635" s="74"/>
      <c r="C635" s="220"/>
      <c r="D635" s="221"/>
      <c r="E635" s="236"/>
      <c r="F635" s="187"/>
      <c r="G635" s="187"/>
      <c r="H635" s="187"/>
      <c r="I635" s="187"/>
      <c r="J635" s="187"/>
      <c r="K635" s="187"/>
    </row>
    <row r="636" ht="16.5" customHeight="1">
      <c r="A636" s="234"/>
      <c r="B636" s="235"/>
      <c r="C636" s="225"/>
      <c r="D636" s="226"/>
      <c r="E636" s="263"/>
      <c r="F636" s="194"/>
      <c r="G636" s="194"/>
      <c r="H636" s="194"/>
      <c r="I636" s="194"/>
      <c r="J636" s="194"/>
      <c r="K636" s="194"/>
    </row>
    <row r="637" ht="16.5" customHeight="1">
      <c r="A637" s="233"/>
      <c r="B637" s="74"/>
      <c r="C637" s="220"/>
      <c r="D637" s="221"/>
      <c r="E637" s="236"/>
      <c r="F637" s="187"/>
      <c r="G637" s="187"/>
      <c r="H637" s="187"/>
      <c r="I637" s="187"/>
      <c r="J637" s="187"/>
      <c r="K637" s="187"/>
    </row>
    <row r="638" ht="15.75" customHeight="1">
      <c r="B638" s="264"/>
    </row>
    <row r="639" ht="15.75" customHeight="1">
      <c r="B639" s="264"/>
    </row>
    <row r="640" ht="15.75" customHeight="1">
      <c r="B640" s="264"/>
    </row>
    <row r="641" ht="15.75" customHeight="1">
      <c r="B641" s="264"/>
    </row>
    <row r="642" ht="15.75" customHeight="1">
      <c r="B642" s="264"/>
    </row>
    <row r="643" ht="15.75" customHeight="1">
      <c r="B643" s="264"/>
    </row>
    <row r="644" ht="15.75" customHeight="1">
      <c r="B644" s="264"/>
    </row>
    <row r="645" ht="15.75" customHeight="1">
      <c r="B645" s="264"/>
    </row>
    <row r="646" ht="15.75" customHeight="1">
      <c r="B646" s="264"/>
    </row>
    <row r="647" ht="15.75" customHeight="1">
      <c r="B647" s="264"/>
    </row>
    <row r="648" ht="15.75" customHeight="1">
      <c r="B648" s="264"/>
    </row>
    <row r="649" ht="15.75" customHeight="1">
      <c r="B649" s="264"/>
    </row>
    <row r="650" ht="15.75" customHeight="1">
      <c r="B650" s="264"/>
    </row>
    <row r="651" ht="15.75" customHeight="1">
      <c r="B651" s="264"/>
    </row>
    <row r="652" ht="15.75" customHeight="1">
      <c r="B652" s="264"/>
    </row>
    <row r="653" ht="15.75" customHeight="1">
      <c r="B653" s="264"/>
    </row>
    <row r="654" ht="15.75" customHeight="1">
      <c r="B654" s="264"/>
    </row>
    <row r="655" ht="15.75" customHeight="1">
      <c r="B655" s="264"/>
    </row>
    <row r="656" ht="15.75" customHeight="1">
      <c r="B656" s="264"/>
    </row>
    <row r="657" ht="15.75" customHeight="1">
      <c r="B657" s="264"/>
    </row>
    <row r="658" ht="15.75" customHeight="1">
      <c r="B658" s="264"/>
    </row>
    <row r="659" ht="15.75" customHeight="1">
      <c r="B659" s="264"/>
    </row>
    <row r="660" ht="15.75" customHeight="1">
      <c r="B660" s="264"/>
    </row>
    <row r="661" ht="15.75" customHeight="1">
      <c r="B661" s="264"/>
    </row>
    <row r="662" ht="15.75" customHeight="1">
      <c r="B662" s="264"/>
    </row>
    <row r="663" ht="15.75" customHeight="1">
      <c r="B663" s="264"/>
    </row>
    <row r="664" ht="15.75" customHeight="1">
      <c r="B664" s="264"/>
    </row>
    <row r="665" ht="15.75" customHeight="1">
      <c r="B665" s="264"/>
    </row>
    <row r="666" ht="15.75" customHeight="1">
      <c r="B666" s="264"/>
    </row>
    <row r="667" ht="15.75" customHeight="1">
      <c r="B667" s="264"/>
    </row>
    <row r="668" ht="15.75" customHeight="1">
      <c r="B668" s="264"/>
    </row>
    <row r="669" ht="15.75" customHeight="1">
      <c r="B669" s="264"/>
    </row>
    <row r="670" ht="15.75" customHeight="1">
      <c r="B670" s="264"/>
    </row>
    <row r="671" ht="15.75" customHeight="1">
      <c r="B671" s="264"/>
    </row>
    <row r="672" ht="15.75" customHeight="1">
      <c r="B672" s="264"/>
    </row>
    <row r="673" ht="15.75" customHeight="1">
      <c r="B673" s="264"/>
    </row>
    <row r="674" ht="15.75" customHeight="1">
      <c r="B674" s="264"/>
    </row>
    <row r="675" ht="15.75" customHeight="1">
      <c r="B675" s="264"/>
    </row>
    <row r="676" ht="15.75" customHeight="1">
      <c r="B676" s="264"/>
    </row>
    <row r="677" ht="15.75" customHeight="1">
      <c r="B677" s="264"/>
    </row>
    <row r="678" ht="15.75" customHeight="1">
      <c r="B678" s="264"/>
    </row>
    <row r="679" ht="15.75" customHeight="1">
      <c r="B679" s="264"/>
    </row>
    <row r="680" ht="15.75" customHeight="1">
      <c r="B680" s="264"/>
    </row>
    <row r="681" ht="15.75" customHeight="1">
      <c r="B681" s="264"/>
    </row>
    <row r="682" ht="15.75" customHeight="1">
      <c r="B682" s="264"/>
    </row>
    <row r="683" ht="15.75" customHeight="1">
      <c r="B683" s="264"/>
    </row>
    <row r="684" ht="15.75" customHeight="1">
      <c r="B684" s="264"/>
    </row>
    <row r="685" ht="15.75" customHeight="1">
      <c r="B685" s="264"/>
    </row>
    <row r="686" ht="15.75" customHeight="1">
      <c r="B686" s="264"/>
    </row>
    <row r="687" ht="15.75" customHeight="1">
      <c r="B687" s="264"/>
    </row>
    <row r="688" ht="15.75" customHeight="1">
      <c r="B688" s="264"/>
    </row>
    <row r="689" ht="15.75" customHeight="1">
      <c r="B689" s="264"/>
    </row>
    <row r="690" ht="15.75" customHeight="1">
      <c r="B690" s="264"/>
    </row>
    <row r="691" ht="15.75" customHeight="1">
      <c r="B691" s="264"/>
    </row>
    <row r="692" ht="15.75" customHeight="1">
      <c r="B692" s="264"/>
    </row>
    <row r="693" ht="15.75" customHeight="1">
      <c r="B693" s="264"/>
    </row>
    <row r="694" ht="15.75" customHeight="1">
      <c r="B694" s="264"/>
    </row>
    <row r="695" ht="15.75" customHeight="1">
      <c r="B695" s="264"/>
    </row>
    <row r="696" ht="15.75" customHeight="1">
      <c r="B696" s="264"/>
    </row>
    <row r="697" ht="15.75" customHeight="1">
      <c r="B697" s="264"/>
    </row>
    <row r="698" ht="15.75" customHeight="1">
      <c r="B698" s="264"/>
    </row>
    <row r="699" ht="15.75" customHeight="1">
      <c r="B699" s="264"/>
    </row>
    <row r="700" ht="15.75" customHeight="1">
      <c r="B700" s="264"/>
    </row>
    <row r="701" ht="15.75" customHeight="1">
      <c r="B701" s="264"/>
    </row>
    <row r="702" ht="15.75" customHeight="1">
      <c r="B702" s="264"/>
    </row>
    <row r="703" ht="15.75" customHeight="1">
      <c r="B703" s="264"/>
    </row>
    <row r="704" ht="15.75" customHeight="1">
      <c r="B704" s="264"/>
    </row>
    <row r="705" ht="15.75" customHeight="1">
      <c r="B705" s="264"/>
    </row>
    <row r="706" ht="15.75" customHeight="1">
      <c r="B706" s="264"/>
    </row>
    <row r="707" ht="15.75" customHeight="1">
      <c r="B707" s="264"/>
    </row>
    <row r="708" ht="15.75" customHeight="1">
      <c r="B708" s="264"/>
    </row>
    <row r="709" ht="15.75" customHeight="1">
      <c r="B709" s="264"/>
    </row>
    <row r="710" ht="15.75" customHeight="1">
      <c r="B710" s="264"/>
    </row>
    <row r="711" ht="15.75" customHeight="1">
      <c r="B711" s="264"/>
    </row>
    <row r="712" ht="15.75" customHeight="1">
      <c r="B712" s="264"/>
    </row>
    <row r="713" ht="15.75" customHeight="1">
      <c r="B713" s="264"/>
    </row>
    <row r="714" ht="15.75" customHeight="1">
      <c r="B714" s="264"/>
    </row>
    <row r="715" ht="15.75" customHeight="1">
      <c r="B715" s="264"/>
    </row>
    <row r="716" ht="15.75" customHeight="1">
      <c r="B716" s="264"/>
    </row>
    <row r="717" ht="15.75" customHeight="1">
      <c r="B717" s="264"/>
    </row>
    <row r="718" ht="15.75" customHeight="1">
      <c r="B718" s="264"/>
    </row>
    <row r="719" ht="15.75" customHeight="1">
      <c r="B719" s="264"/>
    </row>
    <row r="720" ht="15.75" customHeight="1">
      <c r="B720" s="264"/>
    </row>
    <row r="721" ht="15.75" customHeight="1">
      <c r="B721" s="264"/>
    </row>
    <row r="722" ht="15.75" customHeight="1">
      <c r="B722" s="264"/>
    </row>
    <row r="723" ht="15.75" customHeight="1">
      <c r="B723" s="264"/>
    </row>
    <row r="724" ht="15.75" customHeight="1">
      <c r="B724" s="264"/>
    </row>
    <row r="725" ht="15.75" customHeight="1">
      <c r="B725" s="264"/>
    </row>
    <row r="726" ht="15.75" customHeight="1">
      <c r="B726" s="264"/>
    </row>
    <row r="727" ht="15.75" customHeight="1">
      <c r="B727" s="264"/>
    </row>
    <row r="728" ht="15.75" customHeight="1">
      <c r="B728" s="264"/>
    </row>
    <row r="729" ht="15.75" customHeight="1">
      <c r="B729" s="264"/>
    </row>
    <row r="730" ht="15.75" customHeight="1">
      <c r="B730" s="264"/>
    </row>
    <row r="731" ht="15.75" customHeight="1">
      <c r="B731" s="264"/>
    </row>
    <row r="732" ht="15.75" customHeight="1">
      <c r="B732" s="264"/>
    </row>
    <row r="733" ht="15.75" customHeight="1">
      <c r="B733" s="264"/>
    </row>
    <row r="734" ht="15.75" customHeight="1">
      <c r="B734" s="264"/>
    </row>
    <row r="735" ht="15.75" customHeight="1">
      <c r="B735" s="264"/>
    </row>
    <row r="736" ht="15.75" customHeight="1">
      <c r="B736" s="264"/>
    </row>
    <row r="737" ht="15.75" customHeight="1">
      <c r="B737" s="264"/>
    </row>
    <row r="738" ht="15.75" customHeight="1">
      <c r="B738" s="264"/>
    </row>
    <row r="739" ht="15.75" customHeight="1">
      <c r="B739" s="264"/>
    </row>
    <row r="740" ht="15.75" customHeight="1">
      <c r="B740" s="264"/>
    </row>
    <row r="741" ht="15.75" customHeight="1">
      <c r="B741" s="264"/>
    </row>
    <row r="742" ht="15.75" customHeight="1">
      <c r="B742" s="264"/>
    </row>
    <row r="743" ht="15.75" customHeight="1">
      <c r="B743" s="264"/>
    </row>
    <row r="744" ht="15.75" customHeight="1">
      <c r="B744" s="264"/>
    </row>
    <row r="745" ht="15.75" customHeight="1">
      <c r="B745" s="264"/>
    </row>
    <row r="746" ht="15.75" customHeight="1">
      <c r="B746" s="264"/>
    </row>
    <row r="747" ht="15.75" customHeight="1">
      <c r="B747" s="264"/>
    </row>
    <row r="748" ht="15.75" customHeight="1">
      <c r="B748" s="264"/>
    </row>
    <row r="749" ht="15.75" customHeight="1">
      <c r="B749" s="264"/>
    </row>
    <row r="750" ht="15.75" customHeight="1">
      <c r="B750" s="264"/>
    </row>
    <row r="751" ht="15.75" customHeight="1">
      <c r="B751" s="264"/>
    </row>
    <row r="752" ht="15.75" customHeight="1">
      <c r="B752" s="264"/>
    </row>
    <row r="753" ht="15.75" customHeight="1">
      <c r="B753" s="264"/>
    </row>
    <row r="754" ht="15.75" customHeight="1">
      <c r="B754" s="264"/>
    </row>
    <row r="755" ht="15.75" customHeight="1">
      <c r="B755" s="264"/>
    </row>
    <row r="756" ht="15.75" customHeight="1">
      <c r="B756" s="264"/>
    </row>
    <row r="757" ht="15.75" customHeight="1">
      <c r="B757" s="264"/>
    </row>
    <row r="758" ht="15.75" customHeight="1">
      <c r="B758" s="264"/>
    </row>
    <row r="759" ht="15.75" customHeight="1">
      <c r="B759" s="264"/>
    </row>
    <row r="760" ht="15.75" customHeight="1">
      <c r="B760" s="264"/>
    </row>
    <row r="761" ht="15.75" customHeight="1">
      <c r="B761" s="264"/>
    </row>
    <row r="762" ht="15.75" customHeight="1">
      <c r="B762" s="264"/>
    </row>
    <row r="763" ht="15.75" customHeight="1">
      <c r="B763" s="264"/>
    </row>
    <row r="764" ht="15.75" customHeight="1">
      <c r="B764" s="264"/>
    </row>
    <row r="765" ht="15.75" customHeight="1">
      <c r="B765" s="264"/>
    </row>
    <row r="766" ht="15.75" customHeight="1">
      <c r="B766" s="264"/>
    </row>
    <row r="767" ht="15.75" customHeight="1">
      <c r="B767" s="264"/>
    </row>
    <row r="768" ht="15.75" customHeight="1">
      <c r="B768" s="264"/>
    </row>
    <row r="769" ht="15.75" customHeight="1">
      <c r="B769" s="264"/>
    </row>
    <row r="770" ht="15.75" customHeight="1">
      <c r="B770" s="264"/>
    </row>
    <row r="771" ht="15.75" customHeight="1">
      <c r="B771" s="264"/>
    </row>
    <row r="772" ht="15.75" customHeight="1">
      <c r="B772" s="264"/>
    </row>
    <row r="773" ht="15.75" customHeight="1">
      <c r="B773" s="264"/>
    </row>
    <row r="774" ht="15.75" customHeight="1">
      <c r="B774" s="264"/>
    </row>
    <row r="775" ht="15.75" customHeight="1">
      <c r="B775" s="264"/>
    </row>
    <row r="776" ht="15.75" customHeight="1">
      <c r="B776" s="264"/>
    </row>
    <row r="777" ht="15.75" customHeight="1">
      <c r="B777" s="264"/>
    </row>
    <row r="778" ht="15.75" customHeight="1">
      <c r="B778" s="264"/>
    </row>
    <row r="779" ht="15.75" customHeight="1">
      <c r="B779" s="264"/>
    </row>
    <row r="780" ht="15.75" customHeight="1">
      <c r="B780" s="264"/>
    </row>
    <row r="781" ht="15.75" customHeight="1">
      <c r="B781" s="264"/>
    </row>
    <row r="782" ht="15.75" customHeight="1">
      <c r="B782" s="264"/>
    </row>
    <row r="783" ht="15.75" customHeight="1">
      <c r="B783" s="264"/>
    </row>
    <row r="784" ht="15.75" customHeight="1">
      <c r="B784" s="264"/>
    </row>
    <row r="785" ht="15.75" customHeight="1">
      <c r="B785" s="264"/>
    </row>
    <row r="786" ht="15.75" customHeight="1">
      <c r="B786" s="264"/>
    </row>
    <row r="787" ht="15.75" customHeight="1">
      <c r="B787" s="264"/>
    </row>
    <row r="788" ht="15.75" customHeight="1">
      <c r="B788" s="264"/>
    </row>
    <row r="789" ht="15.75" customHeight="1">
      <c r="B789" s="264"/>
    </row>
    <row r="790" ht="15.75" customHeight="1">
      <c r="B790" s="264"/>
    </row>
    <row r="791" ht="15.75" customHeight="1">
      <c r="B791" s="264"/>
    </row>
    <row r="792" ht="15.75" customHeight="1">
      <c r="B792" s="264"/>
    </row>
    <row r="793" ht="15.75" customHeight="1">
      <c r="B793" s="264"/>
    </row>
    <row r="794" ht="15.75" customHeight="1">
      <c r="B794" s="264"/>
    </row>
    <row r="795" ht="15.75" customHeight="1">
      <c r="B795" s="264"/>
    </row>
    <row r="796" ht="15.75" customHeight="1">
      <c r="B796" s="264"/>
    </row>
    <row r="797" ht="15.75" customHeight="1">
      <c r="B797" s="264"/>
    </row>
    <row r="798" ht="15.75" customHeight="1">
      <c r="B798" s="264"/>
    </row>
    <row r="799" ht="15.75" customHeight="1">
      <c r="B799" s="264"/>
    </row>
    <row r="800" ht="15.75" customHeight="1">
      <c r="B800" s="264"/>
    </row>
    <row r="801" ht="15.75" customHeight="1">
      <c r="B801" s="264"/>
    </row>
    <row r="802" ht="15.75" customHeight="1">
      <c r="B802" s="264"/>
    </row>
    <row r="803" ht="15.75" customHeight="1">
      <c r="B803" s="264"/>
    </row>
    <row r="804" ht="15.75" customHeight="1">
      <c r="B804" s="264"/>
    </row>
    <row r="805" ht="15.75" customHeight="1">
      <c r="B805" s="264"/>
    </row>
    <row r="806" ht="15.75" customHeight="1">
      <c r="B806" s="264"/>
    </row>
    <row r="807" ht="15.75" customHeight="1">
      <c r="B807" s="264"/>
    </row>
    <row r="808" ht="15.75" customHeight="1">
      <c r="B808" s="264"/>
    </row>
    <row r="809" ht="15.75" customHeight="1">
      <c r="B809" s="264"/>
    </row>
    <row r="810" ht="15.75" customHeight="1">
      <c r="B810" s="264"/>
    </row>
    <row r="811" ht="15.75" customHeight="1">
      <c r="B811" s="264"/>
    </row>
    <row r="812" ht="15.75" customHeight="1">
      <c r="B812" s="264"/>
    </row>
    <row r="813" ht="15.75" customHeight="1">
      <c r="B813" s="264"/>
    </row>
    <row r="814" ht="15.75" customHeight="1">
      <c r="B814" s="264"/>
    </row>
    <row r="815" ht="15.75" customHeight="1">
      <c r="B815" s="264"/>
    </row>
    <row r="816" ht="15.75" customHeight="1">
      <c r="B816" s="264"/>
    </row>
    <row r="817" ht="15.75" customHeight="1">
      <c r="B817" s="264"/>
    </row>
    <row r="818" ht="15.75" customHeight="1">
      <c r="B818" s="264"/>
    </row>
    <row r="819" ht="15.75" customHeight="1">
      <c r="B819" s="264"/>
    </row>
    <row r="820" ht="15.75" customHeight="1">
      <c r="B820" s="264"/>
    </row>
    <row r="821" ht="15.75" customHeight="1">
      <c r="B821" s="264"/>
    </row>
    <row r="822" ht="15.75" customHeight="1">
      <c r="B822" s="264"/>
    </row>
    <row r="823" ht="15.75" customHeight="1">
      <c r="B823" s="264"/>
    </row>
    <row r="824" ht="15.75" customHeight="1">
      <c r="B824" s="264"/>
    </row>
    <row r="825" ht="15.75" customHeight="1">
      <c r="B825" s="264"/>
    </row>
    <row r="826" ht="15.75" customHeight="1">
      <c r="B826" s="264"/>
    </row>
    <row r="827" ht="15.75" customHeight="1">
      <c r="B827" s="264"/>
    </row>
    <row r="828" ht="15.75" customHeight="1">
      <c r="B828" s="264"/>
    </row>
    <row r="829" ht="15.75" customHeight="1">
      <c r="B829" s="264"/>
    </row>
    <row r="830" ht="15.75" customHeight="1">
      <c r="B830" s="264"/>
    </row>
    <row r="831" ht="15.75" customHeight="1">
      <c r="B831" s="264"/>
    </row>
    <row r="832" ht="15.75" customHeight="1">
      <c r="B832" s="264"/>
    </row>
    <row r="833" ht="15.75" customHeight="1">
      <c r="B833" s="264"/>
    </row>
    <row r="834" ht="15.75" customHeight="1">
      <c r="B834" s="264"/>
    </row>
    <row r="835" ht="15.75" customHeight="1">
      <c r="B835" s="264"/>
    </row>
    <row r="836" ht="15.75" customHeight="1">
      <c r="B836" s="264"/>
    </row>
    <row r="837" ht="15.75" customHeight="1">
      <c r="B837" s="264"/>
    </row>
    <row r="838" ht="15.75" customHeight="1">
      <c r="B838" s="264"/>
    </row>
    <row r="839" ht="15.75" customHeight="1">
      <c r="B839" s="264"/>
    </row>
    <row r="840" ht="15.75" customHeight="1">
      <c r="B840" s="264"/>
    </row>
    <row r="841" ht="15.75" customHeight="1">
      <c r="B841" s="264"/>
    </row>
    <row r="842" ht="15.75" customHeight="1">
      <c r="B842" s="264"/>
    </row>
    <row r="843" ht="15.75" customHeight="1">
      <c r="B843" s="264"/>
    </row>
    <row r="844" ht="15.75" customHeight="1">
      <c r="B844" s="264"/>
    </row>
    <row r="845" ht="15.75" customHeight="1">
      <c r="B845" s="264"/>
    </row>
    <row r="846" ht="15.75" customHeight="1">
      <c r="B846" s="264"/>
    </row>
    <row r="847" ht="15.75" customHeight="1">
      <c r="B847" s="264"/>
    </row>
    <row r="848" ht="15.75" customHeight="1">
      <c r="B848" s="264"/>
    </row>
    <row r="849" ht="15.75" customHeight="1">
      <c r="B849" s="264"/>
    </row>
    <row r="850" ht="15.75" customHeight="1">
      <c r="B850" s="264"/>
    </row>
    <row r="851" ht="15.75" customHeight="1">
      <c r="B851" s="264"/>
    </row>
    <row r="852" ht="15.75" customHeight="1">
      <c r="B852" s="264"/>
    </row>
    <row r="853" ht="15.75" customHeight="1">
      <c r="B853" s="264"/>
    </row>
    <row r="854" ht="15.75" customHeight="1">
      <c r="B854" s="264"/>
    </row>
    <row r="855" ht="15.75" customHeight="1">
      <c r="B855" s="264"/>
    </row>
    <row r="856" ht="15.75" customHeight="1">
      <c r="B856" s="264"/>
    </row>
    <row r="857" ht="15.75" customHeight="1">
      <c r="B857" s="264"/>
    </row>
    <row r="858" ht="15.75" customHeight="1">
      <c r="B858" s="264"/>
    </row>
    <row r="859" ht="15.75" customHeight="1">
      <c r="B859" s="264"/>
    </row>
    <row r="860" ht="15.75" customHeight="1">
      <c r="B860" s="264"/>
    </row>
    <row r="861" ht="15.75" customHeight="1">
      <c r="B861" s="264"/>
    </row>
    <row r="862" ht="15.75" customHeight="1">
      <c r="B862" s="264"/>
    </row>
    <row r="863" ht="15.75" customHeight="1">
      <c r="B863" s="264"/>
    </row>
    <row r="864" ht="15.75" customHeight="1">
      <c r="B864" s="264"/>
    </row>
    <row r="865" ht="15.75" customHeight="1">
      <c r="B865" s="264"/>
    </row>
    <row r="866" ht="15.75" customHeight="1">
      <c r="B866" s="264"/>
    </row>
    <row r="867" ht="15.75" customHeight="1">
      <c r="B867" s="264"/>
    </row>
    <row r="868" ht="15.75" customHeight="1">
      <c r="B868" s="264"/>
    </row>
    <row r="869" ht="15.75" customHeight="1">
      <c r="B869" s="264"/>
    </row>
    <row r="870" ht="15.75" customHeight="1">
      <c r="B870" s="264"/>
    </row>
    <row r="871" ht="15.75" customHeight="1">
      <c r="B871" s="264"/>
    </row>
    <row r="872" ht="15.75" customHeight="1">
      <c r="B872" s="264"/>
    </row>
    <row r="873" ht="15.75" customHeight="1">
      <c r="B873" s="264"/>
    </row>
    <row r="874" ht="15.75" customHeight="1">
      <c r="B874" s="264"/>
    </row>
    <row r="875" ht="15.75" customHeight="1">
      <c r="B875" s="264"/>
    </row>
    <row r="876" ht="15.75" customHeight="1">
      <c r="B876" s="264"/>
    </row>
    <row r="877" ht="15.75" customHeight="1">
      <c r="B877" s="264"/>
    </row>
    <row r="878" ht="15.75" customHeight="1">
      <c r="B878" s="264"/>
    </row>
    <row r="879" ht="15.75" customHeight="1">
      <c r="B879" s="264"/>
    </row>
    <row r="880" ht="15.75" customHeight="1">
      <c r="B880" s="264"/>
    </row>
    <row r="881" ht="15.75" customHeight="1">
      <c r="B881" s="264"/>
    </row>
    <row r="882" ht="15.75" customHeight="1">
      <c r="B882" s="264"/>
    </row>
    <row r="883" ht="15.75" customHeight="1">
      <c r="B883" s="264"/>
    </row>
    <row r="884" ht="15.75" customHeight="1">
      <c r="B884" s="264"/>
    </row>
    <row r="885" ht="15.75" customHeight="1">
      <c r="B885" s="264"/>
    </row>
    <row r="886" ht="15.75" customHeight="1">
      <c r="B886" s="264"/>
    </row>
    <row r="887" ht="15.75" customHeight="1">
      <c r="B887" s="264"/>
    </row>
    <row r="888" ht="15.75" customHeight="1">
      <c r="B888" s="264"/>
    </row>
    <row r="889" ht="15.75" customHeight="1">
      <c r="B889" s="264"/>
    </row>
    <row r="890" ht="15.75" customHeight="1">
      <c r="B890" s="264"/>
    </row>
    <row r="891" ht="15.75" customHeight="1">
      <c r="B891" s="264"/>
    </row>
    <row r="892" ht="15.75" customHeight="1">
      <c r="B892" s="264"/>
    </row>
    <row r="893" ht="15.75" customHeight="1">
      <c r="B893" s="264"/>
    </row>
    <row r="894" ht="15.75" customHeight="1">
      <c r="B894" s="264"/>
    </row>
    <row r="895" ht="15.75" customHeight="1">
      <c r="B895" s="264"/>
    </row>
    <row r="896" ht="15.75" customHeight="1">
      <c r="B896" s="264"/>
    </row>
    <row r="897" ht="15.75" customHeight="1">
      <c r="B897" s="264"/>
    </row>
    <row r="898" ht="15.75" customHeight="1">
      <c r="B898" s="264"/>
    </row>
    <row r="899" ht="15.75" customHeight="1">
      <c r="B899" s="264"/>
    </row>
    <row r="900" ht="15.75" customHeight="1">
      <c r="B900" s="264"/>
    </row>
    <row r="901" ht="15.75" customHeight="1">
      <c r="B901" s="264"/>
    </row>
    <row r="902" ht="15.75" customHeight="1">
      <c r="B902" s="264"/>
    </row>
    <row r="903" ht="15.75" customHeight="1">
      <c r="B903" s="264"/>
    </row>
    <row r="904" ht="15.75" customHeight="1">
      <c r="B904" s="264"/>
    </row>
    <row r="905" ht="15.75" customHeight="1">
      <c r="B905" s="264"/>
    </row>
    <row r="906" ht="15.75" customHeight="1">
      <c r="B906" s="264"/>
    </row>
    <row r="907" ht="15.75" customHeight="1">
      <c r="B907" s="264"/>
    </row>
    <row r="908" ht="15.75" customHeight="1">
      <c r="B908" s="264"/>
    </row>
    <row r="909" ht="15.75" customHeight="1">
      <c r="B909" s="264"/>
    </row>
    <row r="910" ht="15.75" customHeight="1">
      <c r="B910" s="264"/>
    </row>
    <row r="911" ht="15.75" customHeight="1">
      <c r="B911" s="264"/>
    </row>
    <row r="912" ht="15.75" customHeight="1">
      <c r="B912" s="264"/>
    </row>
    <row r="913" ht="15.75" customHeight="1">
      <c r="B913" s="264"/>
    </row>
    <row r="914" ht="15.75" customHeight="1">
      <c r="B914" s="264"/>
    </row>
    <row r="915" ht="15.75" customHeight="1">
      <c r="B915" s="264"/>
    </row>
    <row r="916" ht="15.75" customHeight="1">
      <c r="B916" s="264"/>
    </row>
    <row r="917" ht="15.75" customHeight="1">
      <c r="B917" s="264"/>
    </row>
    <row r="918" ht="15.75" customHeight="1">
      <c r="B918" s="264"/>
    </row>
    <row r="919" ht="15.75" customHeight="1">
      <c r="B919" s="264"/>
    </row>
    <row r="920" ht="15.75" customHeight="1">
      <c r="B920" s="264"/>
    </row>
    <row r="921" ht="15.75" customHeight="1">
      <c r="B921" s="264"/>
    </row>
    <row r="922" ht="15.75" customHeight="1">
      <c r="B922" s="264"/>
    </row>
    <row r="923" ht="15.75" customHeight="1">
      <c r="B923" s="264"/>
    </row>
    <row r="924" ht="15.75" customHeight="1">
      <c r="B924" s="264"/>
    </row>
    <row r="925" ht="15.75" customHeight="1">
      <c r="B925" s="264"/>
    </row>
    <row r="926" ht="15.75" customHeight="1">
      <c r="B926" s="264"/>
    </row>
    <row r="927" ht="15.75" customHeight="1">
      <c r="B927" s="264"/>
    </row>
    <row r="928" ht="15.75" customHeight="1">
      <c r="B928" s="264"/>
    </row>
    <row r="929" ht="15.75" customHeight="1">
      <c r="B929" s="264"/>
    </row>
    <row r="930" ht="15.75" customHeight="1">
      <c r="B930" s="264"/>
    </row>
    <row r="931" ht="15.75" customHeight="1">
      <c r="B931" s="264"/>
    </row>
    <row r="932" ht="15.75" customHeight="1">
      <c r="B932" s="264"/>
    </row>
    <row r="933" ht="15.75" customHeight="1">
      <c r="B933" s="264"/>
    </row>
    <row r="934" ht="15.75" customHeight="1">
      <c r="B934" s="264"/>
    </row>
    <row r="935" ht="15.75" customHeight="1">
      <c r="B935" s="264"/>
    </row>
    <row r="936" ht="15.75" customHeight="1">
      <c r="B936" s="264"/>
    </row>
    <row r="937" ht="15.75" customHeight="1">
      <c r="B937" s="264"/>
    </row>
    <row r="938" ht="15.75" customHeight="1">
      <c r="B938" s="264"/>
    </row>
    <row r="939" ht="15.75" customHeight="1">
      <c r="B939" s="264"/>
    </row>
    <row r="940" ht="15.75" customHeight="1">
      <c r="B940" s="264"/>
    </row>
    <row r="941" ht="15.75" customHeight="1">
      <c r="B941" s="264"/>
    </row>
    <row r="942" ht="15.75" customHeight="1">
      <c r="B942" s="264"/>
    </row>
    <row r="943" ht="15.75" customHeight="1">
      <c r="B943" s="264"/>
    </row>
    <row r="944" ht="15.75" customHeight="1">
      <c r="B944" s="264"/>
    </row>
    <row r="945" ht="15.75" customHeight="1">
      <c r="B945" s="264"/>
    </row>
    <row r="946" ht="15.75" customHeight="1">
      <c r="B946" s="264"/>
    </row>
    <row r="947" ht="15.75" customHeight="1">
      <c r="B947" s="264"/>
    </row>
    <row r="948" ht="15.75" customHeight="1">
      <c r="B948" s="264"/>
    </row>
    <row r="949" ht="15.75" customHeight="1">
      <c r="B949" s="264"/>
    </row>
    <row r="950" ht="15.75" customHeight="1">
      <c r="B950" s="264"/>
    </row>
    <row r="951" ht="15.75" customHeight="1">
      <c r="B951" s="264"/>
    </row>
    <row r="952" ht="15.75" customHeight="1">
      <c r="B952" s="264"/>
    </row>
    <row r="953" ht="15.75" customHeight="1">
      <c r="B953" s="264"/>
    </row>
    <row r="954" ht="15.75" customHeight="1">
      <c r="B954" s="264"/>
    </row>
    <row r="955" ht="15.75" customHeight="1">
      <c r="B955" s="264"/>
    </row>
    <row r="956" ht="15.75" customHeight="1">
      <c r="B956" s="264"/>
    </row>
    <row r="957" ht="15.75" customHeight="1">
      <c r="B957" s="264"/>
    </row>
    <row r="958" ht="15.75" customHeight="1">
      <c r="B958" s="264"/>
    </row>
    <row r="959" ht="15.75" customHeight="1">
      <c r="B959" s="264"/>
    </row>
    <row r="960" ht="15.75" customHeight="1">
      <c r="B960" s="264"/>
    </row>
    <row r="961" ht="15.75" customHeight="1">
      <c r="B961" s="264"/>
    </row>
    <row r="962" ht="15.75" customHeight="1">
      <c r="B962" s="264"/>
    </row>
    <row r="963" ht="15.75" customHeight="1">
      <c r="B963" s="264"/>
    </row>
    <row r="964" ht="15.75" customHeight="1">
      <c r="B964" s="264"/>
    </row>
    <row r="965" ht="15.75" customHeight="1">
      <c r="B965" s="264"/>
    </row>
    <row r="966" ht="15.75" customHeight="1">
      <c r="B966" s="264"/>
    </row>
    <row r="967" ht="15.75" customHeight="1">
      <c r="B967" s="264"/>
    </row>
    <row r="968" ht="15.75" customHeight="1">
      <c r="B968" s="264"/>
    </row>
    <row r="969" ht="15.75" customHeight="1">
      <c r="B969" s="264"/>
    </row>
    <row r="970" ht="15.75" customHeight="1">
      <c r="B970" s="264"/>
    </row>
    <row r="971" ht="15.75" customHeight="1">
      <c r="B971" s="264"/>
    </row>
    <row r="972" ht="15.75" customHeight="1">
      <c r="B972" s="264"/>
    </row>
    <row r="973" ht="15.75" customHeight="1">
      <c r="B973" s="264"/>
    </row>
    <row r="974" ht="15.75" customHeight="1">
      <c r="B974" s="264"/>
    </row>
    <row r="975" ht="15.75" customHeight="1">
      <c r="B975" s="264"/>
    </row>
    <row r="976" ht="15.75" customHeight="1">
      <c r="B976" s="264"/>
    </row>
    <row r="977" ht="15.75" customHeight="1">
      <c r="B977" s="264"/>
    </row>
    <row r="978" ht="15.75" customHeight="1">
      <c r="B978" s="264"/>
    </row>
    <row r="979" ht="15.75" customHeight="1">
      <c r="B979" s="264"/>
    </row>
    <row r="980" ht="15.75" customHeight="1">
      <c r="B980" s="264"/>
    </row>
    <row r="981" ht="15.75" customHeight="1">
      <c r="B981" s="264"/>
    </row>
    <row r="982" ht="15.75" customHeight="1">
      <c r="B982" s="264"/>
    </row>
    <row r="983" ht="15.75" customHeight="1">
      <c r="B983" s="264"/>
    </row>
    <row r="984" ht="15.75" customHeight="1">
      <c r="B984" s="264"/>
    </row>
    <row r="985" ht="15.75" customHeight="1">
      <c r="B985" s="264"/>
    </row>
    <row r="986" ht="15.75" customHeight="1">
      <c r="B986" s="264"/>
    </row>
    <row r="987" ht="15.75" customHeight="1">
      <c r="B987" s="264"/>
    </row>
    <row r="988" ht="15.75" customHeight="1">
      <c r="B988" s="264"/>
    </row>
    <row r="989" ht="15.75" customHeight="1">
      <c r="B989" s="264"/>
    </row>
    <row r="990" ht="15.75" customHeight="1">
      <c r="B990" s="264"/>
    </row>
    <row r="991" ht="15.75" customHeight="1">
      <c r="B991" s="264"/>
    </row>
    <row r="992" ht="15.75" customHeight="1">
      <c r="B992" s="264"/>
    </row>
    <row r="993" ht="15.75" customHeight="1">
      <c r="B993" s="264"/>
    </row>
    <row r="994" ht="15.75" customHeight="1">
      <c r="B994" s="264"/>
    </row>
    <row r="995" ht="15.75" customHeight="1">
      <c r="B995" s="264"/>
    </row>
    <row r="996" ht="15.75" customHeight="1">
      <c r="B996" s="264"/>
    </row>
    <row r="997" ht="15.75" customHeight="1">
      <c r="B997" s="264"/>
    </row>
    <row r="998" ht="15.75" customHeight="1">
      <c r="B998" s="264"/>
    </row>
    <row r="999" ht="15.75" customHeight="1">
      <c r="B999" s="264"/>
    </row>
    <row r="1000" ht="15.75" customHeight="1">
      <c r="B1000" s="264"/>
    </row>
  </sheetData>
  <autoFilter ref="$A$4:$F$438"/>
  <mergeCells count="2">
    <mergeCell ref="B2:D2"/>
    <mergeCell ref="B3:D3"/>
  </mergeCells>
  <dataValidations>
    <dataValidation type="list" allowBlank="1" showInputMessage="1" showErrorMessage="1" prompt="Select from categories listed in the &quot;Categories&quot; sheet or update the &quot;Categories&quot; sheet." sqref="B5:B1000">
      <formula1>Categories!$B:$B</formula1>
    </dataValidation>
  </dataValidations>
  <hyperlinks>
    <hyperlink r:id="rId1" ref="E230"/>
    <hyperlink r:id="rId2" ref="F230"/>
  </hyperlinks>
  <printOptions/>
  <pageMargins bottom="0.75" footer="0.0" header="0.0" left="0.7" right="0.7" top="0.75"/>
  <pageSetup orientation="landscape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FF"/>
    <outlinePr summaryBelow="0" summaryRight="0"/>
    <pageSetUpPr/>
  </sheetPr>
  <sheetViews>
    <sheetView showGridLines="0" workbookViewId="0"/>
  </sheetViews>
  <sheetFormatPr customHeight="1" defaultColWidth="14.43" defaultRowHeight="15.0"/>
  <cols>
    <col customWidth="1" min="1" max="1" width="5.14"/>
    <col customWidth="1" min="2" max="2" width="33.43"/>
    <col customWidth="1" min="3" max="3" width="24.86"/>
    <col customWidth="1" min="4" max="4" width="5.14"/>
    <col customWidth="1" min="5" max="6" width="14.43"/>
  </cols>
  <sheetData>
    <row r="1" ht="30.0" customHeight="1">
      <c r="A1" s="206"/>
      <c r="B1" s="265" t="s">
        <v>271</v>
      </c>
      <c r="C1" s="56"/>
      <c r="D1" s="57"/>
    </row>
    <row r="2" ht="18.75" customHeight="1">
      <c r="A2" s="209"/>
      <c r="B2" s="210" t="s">
        <v>272</v>
      </c>
      <c r="C2" s="57"/>
      <c r="D2" s="266"/>
    </row>
    <row r="3" ht="13.5" customHeight="1">
      <c r="A3" s="202"/>
      <c r="B3" s="203"/>
      <c r="C3" s="203"/>
      <c r="D3" s="203"/>
    </row>
    <row r="4" ht="26.25" customHeight="1">
      <c r="A4" s="267"/>
      <c r="B4" s="268" t="s">
        <v>273</v>
      </c>
      <c r="C4" s="269" t="s">
        <v>274</v>
      </c>
      <c r="D4" s="270"/>
    </row>
    <row r="5" ht="18.75" customHeight="1">
      <c r="A5" s="271"/>
      <c r="B5" s="272" t="s">
        <v>70</v>
      </c>
      <c r="C5" s="139" t="s">
        <v>22</v>
      </c>
      <c r="D5" s="139"/>
    </row>
    <row r="6" ht="18.75" customHeight="1">
      <c r="A6" s="271"/>
      <c r="B6" s="272" t="s">
        <v>71</v>
      </c>
      <c r="C6" s="139" t="s">
        <v>22</v>
      </c>
      <c r="D6" s="139"/>
    </row>
    <row r="7" ht="18.75" customHeight="1">
      <c r="A7" s="271"/>
      <c r="B7" s="272" t="s">
        <v>81</v>
      </c>
      <c r="C7" s="139" t="s">
        <v>22</v>
      </c>
      <c r="D7" s="139"/>
    </row>
    <row r="8" ht="18.75" customHeight="1">
      <c r="A8" s="271"/>
      <c r="B8" s="272" t="s">
        <v>83</v>
      </c>
      <c r="C8" s="139" t="s">
        <v>22</v>
      </c>
      <c r="D8" s="139"/>
    </row>
    <row r="9" ht="18.75" customHeight="1">
      <c r="A9" s="271"/>
      <c r="B9" s="272" t="s">
        <v>85</v>
      </c>
      <c r="C9" s="139" t="s">
        <v>22</v>
      </c>
      <c r="D9" s="139"/>
    </row>
    <row r="10" ht="18.75" customHeight="1">
      <c r="A10" s="271"/>
      <c r="B10" s="272" t="s">
        <v>86</v>
      </c>
      <c r="C10" s="139" t="s">
        <v>22</v>
      </c>
      <c r="D10" s="139"/>
    </row>
    <row r="11" ht="18.75" customHeight="1">
      <c r="A11" s="271"/>
      <c r="B11" s="272" t="s">
        <v>87</v>
      </c>
      <c r="C11" s="139" t="s">
        <v>22</v>
      </c>
      <c r="D11" s="139"/>
    </row>
    <row r="12" ht="18.75" customHeight="1">
      <c r="A12" s="271"/>
      <c r="B12" s="272" t="s">
        <v>88</v>
      </c>
      <c r="C12" s="139" t="s">
        <v>22</v>
      </c>
      <c r="D12" s="139"/>
    </row>
    <row r="13" ht="18.75" customHeight="1">
      <c r="A13" s="271"/>
      <c r="B13" s="272" t="s">
        <v>89</v>
      </c>
      <c r="C13" s="139" t="s">
        <v>22</v>
      </c>
      <c r="D13" s="139"/>
    </row>
    <row r="14" ht="18.75" customHeight="1">
      <c r="A14" s="271"/>
      <c r="B14" s="272" t="s">
        <v>90</v>
      </c>
      <c r="C14" s="139" t="s">
        <v>22</v>
      </c>
      <c r="D14" s="139"/>
    </row>
    <row r="15" ht="18.75" customHeight="1">
      <c r="A15" s="271"/>
      <c r="B15" s="272" t="s">
        <v>157</v>
      </c>
      <c r="C15" s="139" t="s">
        <v>22</v>
      </c>
      <c r="D15" s="139"/>
    </row>
    <row r="16" ht="18.75" customHeight="1">
      <c r="A16" s="271"/>
      <c r="B16" s="272" t="s">
        <v>92</v>
      </c>
      <c r="C16" s="139" t="s">
        <v>22</v>
      </c>
      <c r="D16" s="139"/>
    </row>
    <row r="17" ht="18.75" customHeight="1">
      <c r="A17" s="271"/>
      <c r="B17" s="272" t="s">
        <v>93</v>
      </c>
      <c r="C17" s="139" t="s">
        <v>22</v>
      </c>
      <c r="D17" s="139"/>
    </row>
    <row r="18" ht="18.75" customHeight="1">
      <c r="A18" s="271"/>
      <c r="B18" s="272" t="s">
        <v>94</v>
      </c>
      <c r="C18" s="139" t="s">
        <v>22</v>
      </c>
      <c r="D18" s="139"/>
    </row>
    <row r="19" ht="18.75" customHeight="1">
      <c r="A19" s="271"/>
      <c r="B19" s="272" t="s">
        <v>95</v>
      </c>
      <c r="C19" s="139" t="s">
        <v>22</v>
      </c>
      <c r="D19" s="139"/>
    </row>
    <row r="20" ht="18.75" customHeight="1">
      <c r="A20" s="271"/>
      <c r="B20" s="272" t="s">
        <v>96</v>
      </c>
      <c r="C20" s="139" t="s">
        <v>22</v>
      </c>
      <c r="D20" s="139"/>
    </row>
    <row r="21" ht="18.75" customHeight="1">
      <c r="A21" s="271"/>
      <c r="B21" s="272" t="s">
        <v>97</v>
      </c>
      <c r="C21" s="139" t="s">
        <v>22</v>
      </c>
      <c r="D21" s="139"/>
    </row>
    <row r="22" ht="20.25" customHeight="1">
      <c r="A22" s="271"/>
      <c r="B22" s="272" t="s">
        <v>98</v>
      </c>
      <c r="C22" s="139" t="s">
        <v>22</v>
      </c>
      <c r="D22" s="139"/>
    </row>
    <row r="23" ht="20.25" customHeight="1">
      <c r="A23" s="273"/>
      <c r="B23" s="274" t="s">
        <v>140</v>
      </c>
      <c r="C23" s="139" t="s">
        <v>22</v>
      </c>
      <c r="D23" s="139"/>
    </row>
    <row r="24" ht="20.25" customHeight="1">
      <c r="A24" s="271"/>
      <c r="B24" s="272" t="s">
        <v>100</v>
      </c>
      <c r="C24" s="139" t="s">
        <v>22</v>
      </c>
      <c r="D24" s="139"/>
    </row>
    <row r="25" ht="18.75" customHeight="1">
      <c r="A25" s="271"/>
      <c r="B25" s="272" t="s">
        <v>60</v>
      </c>
      <c r="C25" s="139" t="s">
        <v>5</v>
      </c>
      <c r="D25" s="139"/>
    </row>
    <row r="26" ht="18.75" customHeight="1">
      <c r="A26" s="271"/>
      <c r="B26" s="272" t="s">
        <v>5</v>
      </c>
      <c r="C26" s="139" t="s">
        <v>5</v>
      </c>
      <c r="D26" s="139"/>
    </row>
    <row r="27" ht="18.75" customHeight="1">
      <c r="A27" s="271"/>
      <c r="B27" s="272" t="s">
        <v>266</v>
      </c>
      <c r="C27" s="139" t="s">
        <v>5</v>
      </c>
      <c r="D27" s="139"/>
    </row>
    <row r="28" ht="18.75" customHeight="1">
      <c r="A28" s="271"/>
      <c r="B28" s="272" t="s">
        <v>61</v>
      </c>
      <c r="C28" s="139" t="s">
        <v>5</v>
      </c>
      <c r="D28" s="139"/>
    </row>
    <row r="29" ht="18.75" customHeight="1">
      <c r="A29" s="271"/>
      <c r="B29" s="272" t="s">
        <v>63</v>
      </c>
      <c r="C29" s="139" t="s">
        <v>5</v>
      </c>
      <c r="D29" s="139"/>
    </row>
    <row r="30" ht="18.75" customHeight="1">
      <c r="A30" s="271"/>
      <c r="B30" s="272" t="s">
        <v>64</v>
      </c>
      <c r="C30" s="139" t="s">
        <v>5</v>
      </c>
      <c r="D30" s="139"/>
    </row>
    <row r="31" ht="18.75" customHeight="1">
      <c r="A31" s="271"/>
      <c r="B31" s="272" t="s">
        <v>65</v>
      </c>
      <c r="C31" s="139" t="s">
        <v>5</v>
      </c>
      <c r="D31" s="139"/>
    </row>
    <row r="32" ht="18.75" customHeight="1">
      <c r="A32" s="271"/>
      <c r="B32" s="272" t="s">
        <v>66</v>
      </c>
      <c r="C32" s="139" t="s">
        <v>5</v>
      </c>
      <c r="D32" s="139"/>
    </row>
    <row r="33" ht="18.75" customHeight="1">
      <c r="A33" s="271"/>
      <c r="B33" s="272" t="s">
        <v>67</v>
      </c>
      <c r="C33" s="139" t="s">
        <v>5</v>
      </c>
      <c r="D33" s="139"/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1:D1"/>
    <mergeCell ref="B2:C2"/>
  </mergeCells>
  <dataValidations>
    <dataValidation type="list" allowBlank="1" showInputMessage="1" prompt="This is not a recognized category type. To add a new type, go to Data &gt; Validation in the menus." sqref="C5:C33">
      <formula1>"Expenses,Cost of Goods Sold,Revenue"</formula1>
    </dataValidation>
  </dataValidation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Davenport</dc:creator>
</cp:coreProperties>
</file>